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252"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<sst xmlns="http://schemas.openxmlformats.org/spreadsheetml/2006/main" count="1559" uniqueCount="656">
  <si>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</si>
  <si>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</si>
  <si>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</si>
  <si>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</si>
  <si>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</si>
  <si>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</si>
  <si>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</si>
  <si>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</si>
  <si>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</si>
  <si>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</si>
  <si>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</si>
  <si>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</si>
  <si>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</si>
  <si>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</si>
  <si>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</si>
  <si>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</si>
  <si>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</si>
  <si>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</si>
  <si>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</si>
  <si>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</si>
  <si>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</si>
  <si>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</si>
  <si>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</si>
  <si>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</si>
  <si>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</si>
  <si>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</si>
  <si>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</si>
  <si>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</si>
  <si>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</si>
  <si>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</si>
  <si>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</si>
  <si>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</si>
  <si>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</si>
  <si>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</si>
  <si>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</si>
  <si>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</si>
  <si>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</si>
  <si>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</si>
  <si>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</si>
  <si>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</si>
  <si>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</si>
  <si>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</si>
  <si>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</si>
  <si>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</si>
  <si>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</si>
  <si>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</si>
  <si>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</si>
  <si>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</si>
  <si>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</si>
  <si>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</si>
  <si>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</si>
  <si>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</si>
  <si>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</si>
  <si>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</si>
  <si>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</si>
  <si>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</si>
  <si>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</si>
  <si>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</si>
  <si>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</si>
  <si>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</si>
  <si>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</si>
  <si>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</si>
  <si>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</si>
  <si>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</si>
  <si>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</si>
  <si>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</si>
  <si>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</si>
  <si>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</si>
  <si>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</si>
  <si>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</si>
  <si>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</si>
  <si>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</si>
  <si>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</si>
  <si>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</si>
  <si>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</si>
  <si>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</si>
  <si>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</si>
  <si>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</si>
  <si>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</si>
  <si>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</si>
  <si>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</si>
  <si>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</si>
  <si>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</si>
  <si>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</si>
  <si>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</si>
  <si>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</si>
  <si>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</si>
  <si>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</si>
  <si>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</si>
  <si>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</si>
  <si>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</si>
  <si>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</si>
  <si>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</si>
  <si>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</si>
  <si>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</si>
  <si>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</si>
  <si>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</si>
  <si>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</si>
  <si>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</si>
  <si>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</si>
  <si>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</si>
  <si>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</si>
  <si>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</si>
  <si>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</si>
  <si>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</si>
  <si>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</si>
  <si>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</si>
  <si>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</si>
  <si>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</si>
  <si>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</si>
  <si>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</si>
  <si>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</si>
  <si>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</si>
  <si>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</si>
  <si>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</si>
  <si>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</si>
  <si>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</si>
  <si>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</si>
  <si>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</si>
  <si>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</si>
  <si>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</si>
  <si>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</si>
  <si>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</si>
  <si>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</si>
  <si>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</si>
  <si>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</si>
  <si>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</si>
  <si>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</si>
  <si>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</si>
  <si>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</si>
  <si>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</si>
  <si>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</si>
  <si>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</si>
  <si>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</si>
  <si>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</si>
  <si>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</si>
  <si>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</si>
  <si>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</si>
  <si>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</si>
  <si>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</si>
  <si>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</si>
  <si>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</si>
  <si>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</si>
  <si>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</si>
  <si>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</si>
  <si>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</si>
  <si>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</si>
  <si>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</si>
  <si>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</si>
  <si>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</si>
  <si>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</si>
  <si>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</si>
  <si>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</si>
  <si>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</si>
  <si>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</si>
  <si>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</si>
  <si>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</si>
  <si>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</si>
  <si>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</si>
  <si>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</si>
  <si>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</si>
  <si>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</si>
  <si>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</si>
  <si>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</si>
  <si>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</si>
  <si>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</si>
  <si>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</si>
  <si>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</si>
  <si>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</si>
  <si>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</si>
  <si>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</si>
  <si>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</si>
  <si>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</si>
  <si>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</si>
  <si>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</si>
  <si>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</si>
  <si>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</si>
  <si>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</si>
  <si>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</si>
  <si>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</si>
  <si>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</si>
  <si>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</si>
  <si>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</si>
  <si>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</si>
  <si>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</si>
  <si>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</si>
  <si>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</si>
  <si>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</si>
  <si>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</si>
  <si>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</si>
  <si>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</si>
  <si>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</si>
  <si>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</si>
  <si>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</si>
  <si>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</si>
  <si>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</si>
  <si>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</si>
  <si>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</si>
  <si>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</si>
  <si>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</si>
  <si>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</si>
  <si>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</si>
  <si>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</si>
  <si>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</si>
  <si>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</si>
  <si>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</si>
  <si>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</si>
  <si>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</si>
  <si>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</si>
  <si>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</si>
  <si>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</si>
  <si>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</si>
  <si>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</si>
  <si>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</si>
  <si>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</si>
  <si>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</si>
  <si>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</si>
  <si>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</si>
  <si>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</si>
  <si>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</si>
  <si>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</si>
  <si>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</si>
  <si>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</si>
  <si>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</si>
  <si>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</si>
  <si>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</si>
  <si>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</si>
  <si>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</si>
  <si>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</si>
  <si>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</si>
  <si>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</si>
  <si>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</si>
  <si>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</si>
  <si>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</si>
  <si>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</si>
  <si>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</si>
  <si>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</si>
  <si>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</si>
  <si>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</si>
  <si>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</si>
  <si>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</si>
  <si>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</si>
  <si>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</si>
  <si>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</si>
  <si>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</si>
  <si>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</si>
  <si>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</si>
  <si>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</si>
  <si>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</si>
  <si>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</si>
  <si>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</si>
  <si>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</si>
  <si>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</si>
  <si>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</si>
  <si>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</si>
  <si>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</si>
  <si>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</si>
  <si>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</si>
  <si>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</si>
  <si>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</si>
  <si>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</si>
  <si>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</si>
  <si>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</si>
  <si>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</si>
  <si>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</si>
  <si>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</si>
  <si>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</si>
  <si>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</si>
  <si>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</si>
  <si>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</si>
  <si>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</si>
  <si>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</si>
  <si>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</si>
  <si>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</si>
  <si>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</si>
  <si>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</si>
  <si>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</si>
  <si>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</si>
  <si>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</si>
  <si>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</si>
  <si>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</si>
  <si>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</si>
  <si>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</si>
  <si>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</si>
  <si>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</si>
  <si>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</si>
  <si>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</si>
  <si>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</si>
  <si>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</si>
  <si>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</si>
  <si>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</si>
  <si>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</si>
  <si>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</si>
  <si>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</si>
  <si>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</si>
  <si>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</si>
  <si>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</si>
  <si>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</si>
  <si>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</si>
  <si>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</si>
  <si>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</si>
  <si>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</si>
  <si>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</si>
  <si>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</si>
  <si>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</si>
  <si>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</si>
  <si>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</si>
  <si>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</si>
  <si>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</si>
  <si>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</si>
  <si>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</si>
  <si>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</si>
  <si>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</si>
  <si>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</si>
  <si>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</si>
  <si>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</si>
  <si>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</si>
  <si>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</si>
  <si>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</si>
  <si>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</si>
  <si>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</si>
  <si>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</si>
  <si>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</si>
  <si>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</si>
  <si>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</si>
  <si>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</si>
  <si>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</si>
  <si>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</si>
  <si>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</si>
  <si>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</si>
  <si>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</si>
  <si>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</si>
  <si>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</si>
  <si>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</si>
  <si>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</si>
  <si>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</si>
  <si>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</si>
  <si>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</si>
  <si>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</si>
  <si>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</si>
  <si>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</si>
  <si>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</si>
  <si>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</si>
  <si>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</si>
  <si>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</si>
  <si>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</si>
  <si>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</si>
  <si>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</si>
  <si>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</si>
  <si>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</si>
  <si>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</si>
  <si>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</si>
  <si>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</si>
  <si>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</si>
  <si>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</si>
  <si>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</si>
  <si>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</si>
  <si>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</si>
  <si>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</si>
  <si>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</si>
  <si>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</si>
  <si>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</si>
  <si>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</si>
  <si>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</si>
  <si>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</si>
  <si>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</si>
  <si>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</si>
  <si>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</si>
  <si>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</si>
  <si>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</si>
  <si>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</si>
  <si>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</si>
  <si>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</si>
  <si>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</si>
  <si>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</si>
  <si>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</si>
  <si>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</si>
  <si>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</si>
  <si>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</si>
  <si>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</si>
  <si>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</si>
  <si>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</si>
  <si>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</si>
  <si>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</si>
  <si>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</si>
  <si>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</si>
  <si>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</si>
  <si>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</si>
  <si>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</si>
  <si>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</si>
  <si>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</si>
  <si>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</si>
  <si>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</si>
  <si>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</si>
  <si>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</si>
  <si>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</si>
  <si>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</si>
  <si>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</si>
  <si>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</si>
  <si>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</si>
  <si>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</si>
  <si>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</si>
  <si>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</si>
  <si>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</si>
  <si>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</si>
  <si>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</si>
  <si>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</si>
  <si>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</si>
  <si>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</si>
  <si>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</si>
  <si>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</si>
  <si>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</si>
  <si>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</si>
  <si>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</si>
  <si>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</si>
  <si>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</si>
  <si>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</si>
  <si>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</si>
  <si>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</si>
  <si>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</si>
  <si>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</si>
  <si>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</si>
  <si>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</si>
  <si>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</si>
  <si>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</si>
  <si>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</si>
  <si>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</si>
  <si>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</si>
  <si>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</si>
  <si>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</si>
  <si>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</si>
  <si>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</si>
  <si>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</si>
  <si>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</si>
  <si>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</si>
  <si>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</si>
  <si>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</si>
  <si>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</si>
  <si>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</si>
  <si>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</si>
  <si>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</si>
  <si>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</si>
  <si>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</si>
  <si>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</si>
  <si>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</si>
  <si>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</si>
  <si>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</si>
  <si>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</si>
  <si>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</si>
  <si>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</si>
  <si>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</si>
  <si>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</si>
  <si>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</si>
  <si>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</si>
  <si>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</si>
  <si>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</si>
  <si>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</si>
  <si>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</si>
  <si>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</si>
  <si>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</si>
  <si>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</si>
  <si>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</si>
  <si>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</si>
  <si>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</si>
  <si>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</si>
  <si>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</si>
  <si>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</si>
  <si>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</si>
  <si>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</si>
  <si>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</si>
  <si>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</si>
  <si>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</si>
  <si>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</si>
  <si>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</si>
  <si>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</si>
  <si>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</si>
  <si>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</si>
  <si>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</si>
  <si>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</si>
  <si>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</si>
  <si>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</si>
  <si>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</si>
  <si>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</si>
  <si>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</si>
  <si>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</si>
  <si>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</si>
  <si>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</si>
  <si>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</si>
  <si>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</si>
  <si>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</si>
  <si>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</si>
  <si>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</si>
  <si>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</si>
  <si>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</si>
  <si>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</si>
  <si>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</si>
  <si>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</si>
  <si>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</si>
  <si>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</si>
  <si>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</si>
  <si>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</si>
  <si>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</si>
  <si>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</si>
  <si>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</si>
  <si>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</si>
  <si>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</si>
  <si>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</si>
  <si>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</si>
  <si>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</si>
  <si>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</si>
  <si>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</si>
  <si>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</si>
  <si>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</si>
  <si>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</si>
  <si>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</si>
  <si>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</si>
  <si>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</si>
  <si>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</si>
  <si>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</si>
  <si>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</si>
  <si>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</si>
  <si>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</si>
  <si>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</si>
  <si>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</si>
  <si>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</si>
  <si>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</si>
  <si>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</si>
  <si>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</si>
  <si>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</si>
  <si>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</si>
  <si>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</si>
  <si>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</si>
  <si>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</si>
  <si>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</si>
  <si>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</si>
  <si>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</si>
  <si>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</si>
  <si>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</si>
  <si>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</si>
  <si>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</si>
  <si>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</si>
  <si>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</si>
  <si>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</si>
  <si>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</si>
  <si>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</si>
  <si>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</si>
  <si>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</si>
  <si>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</si>
  <si>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</si>
  <si>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</si>
  <si>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</si>
  <si>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</si>
  <si>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</si>
  <si>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</si>
  <si>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</si>
  <si>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</si>
  <si>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</si>
  <si>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</si>
  <si>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</si>
  <si>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</si>
  <si>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</si>
  <si>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</si>
  <si>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</si>
  <si>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</si>
  <si>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</si>
  <si>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</si>
  <si>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</si>
  <si>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</si>
  <si>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</si>
  <si>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</si>
  <si>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</si>
  <si>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</si>
  <si>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</si>
  <si>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</si>
  <si>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</si>
  <si>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</si>
  <si>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</si>
  <si>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</si>
  <si>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</si>
  <si>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</si>
  <si>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</si>
  <si>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</si>
  <si>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</si>
  <si>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</si>
  <si>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</si>
  <si>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</si>
  <si>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</si>
  <si>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</si>
  <si>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</si>
  <si>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</si>
  <si>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</si>
  <si>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</si>
  <si>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</si>
  <si>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</si>
  <si>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</si>
  <si>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</si>
  <si>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</si>
  <si>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</si>
  <si>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</si>
  <si>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</si>
  <si>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</si>
  <si>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</si>
  <si>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</si>
  <si>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</si>
  <si>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</si>
  <si>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</si>
  <si>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</si>
  <si>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</si>
  <si>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</si>
  <si>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</si>
  <si>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</si>
  <si>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</si>
  <si>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</si>
  <si>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</si>
  <si>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</si>
  <si>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</si>
  <si>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</si>
  <si>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</si>
  <si>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</si>
  <si>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</si>
  <si>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</si>
  <si>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</si>
  <si>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</si>
  <si>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</si>
  <si>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</si>
  <si>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</si>
  <si>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</si>
  <si>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</si>
  <si>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</si>
  <si>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</si>
  <si>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</si>
  <si>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</si>
  <si>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</si>
  <si>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</si>
  <si>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</si>
  <si>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</si>
  <si>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</si>
  <si>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</si>
  <si>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</si>
  <si>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</si>
  <si>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</si>
  <si>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</si>
  <si>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</si>
  <si>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</si>
  <si>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</si>
  <si>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</si>
  <si>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</si>
  <si>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B</t>
  </si>
  <si>
    <t>Processed from the data of Number of Precipitations (mm) at BMKG Monitoring Station 2018-2019, in the Statistical Yearbook of Indonesia by Statistics Indonesia.</t>
  </si>
  <si>
    <t>Sum of quantities of water distributed by water supply industry establishments by categories of customers: Social customer group, Non-commercial customer group (i.e. household, government institution, and embassies), Commercial and industry customer group, and Special customer group.</t>
  </si>
  <si>
    <t>Volume of Water Distributed by Water Supply Establishment by Province, 2014-2018 (Source: Publication of Water Supply Statistics, Statististics Indonesia)</t>
  </si>
  <si>
    <t>Percentage of household using an improved sanitation facility, with toilet discharge septic tanks.</t>
  </si>
  <si>
    <t>Percentage of Households with Final Disposal of Feces through Septic Tank (Source: Welfare Statistics 2013-2019, Statistics Indonesia)</t>
  </si>
  <si>
    <t>C</t>
  </si>
  <si>
    <t>Statistical Yearbook Of Indonesia 2023, BPS-Statistics Indonesia ( 2021 preliminary figure).</t>
  </si>
  <si>
    <t>Percentage of Households with Final Disposal of Feces through Septic Tank (Source: Welfare Statistics 2022, Statistics Indonesia).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</si>
</sst>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quot;Rp&quot;#,##0"/>
    <numFmt numFmtId="165" formatCode="&quot;Rp&quot;#,##0;[Red]\-&quot;Rp&quot;#,##0"/>
    <numFmt numFmtId="166" formatCode="&quot;Rp&quot;#,##0.00;\-&quot;Rp&quot;#,##0.00"/>
    <numFmt numFmtId="167" formatCode="&quot;Rp&quot;#,##0.00;[Red]\-&quot;Rp&quot;#,##0.00"/>
    <numFmt numFmtId="168" formatCode="_-&quot;Rp&quot;* #,##0_-;\-&quot;Rp&quot;* #,##0_-;_-&quot;Rp&quot;* &quot;-&quot;_-;_-@_-"/>
    <numFmt numFmtId="169" formatCode="_-* #,##0_-;\-* #,##0_-;_-* &quot;-&quot;_-;_-@_-"/>
    <numFmt numFmtId="170" formatCode="_-&quot;Rp&quot;* #,##0.00_-;\-&quot;Rp&quot;* #,##0.00_-;_-&quot;Rp&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T\r\ue\”;\“\T\r\ue\”;\“\F\a\lse\”"/>
    <numFmt numFmtId="183" formatCode="mm/dd/yyyy\ hh:mm:ss"/>
    <numFmt numFmtId="184" formatCode="0.0"/>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83"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1">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8" fillId="0" borderId="29" xfId="0" applyFont="1" applyFill="1" applyBorder="1" applyAlignment="1" applyProtection="1">
      <alignment horizontal="left" vertical="center" wrapText="1"/>
      <protection locked="0"/>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xf numFmtId="2" fontId="8" fillId="0" borderId="29" xfId="0" applyNumberFormat="1" applyFont="1" applyFill="1" applyBorder="1" applyAlignment="1" applyProtection="1">
      <alignment horizontal="center" vertical="center" wrapText="1"/>
      <protection locked="0"/>
    </xf>
    <xf numFmtId="2" fontId="8" fillId="0" borderId="29" xfId="0" applyNumberFormat="1" applyFont="1" applyFill="1" applyBorder="1" applyAlignment="1" applyProtection="1">
      <alignment horizontal="right" vertical="center"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790575</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6953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1940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38100</xdr:rowOff>
    </xdr:to>
    <xdr:sp>
      <xdr:nvSpPr>
        <xdr:cNvPr id="18" name="Line 209"/>
        <xdr:cNvSpPr>
          <a:spLocks/>
        </xdr:cNvSpPr>
      </xdr:nvSpPr>
      <xdr:spPr>
        <a:xfrm flipH="1">
          <a:off x="45339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15</xdr:row>
      <xdr:rowOff>190500</xdr:rowOff>
    </xdr:from>
    <xdr:to>
      <xdr:col>8</xdr:col>
      <xdr:colOff>542925</xdr:colOff>
      <xdr:row>16</xdr:row>
      <xdr:rowOff>38100</xdr:rowOff>
    </xdr:to>
    <xdr:sp>
      <xdr:nvSpPr>
        <xdr:cNvPr id="20" name="Line 211"/>
        <xdr:cNvSpPr>
          <a:spLocks/>
        </xdr:cNvSpPr>
      </xdr:nvSpPr>
      <xdr:spPr>
        <a:xfrm>
          <a:off x="69151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447675</xdr:colOff>
      <xdr:row>16</xdr:row>
      <xdr:rowOff>1038225</xdr:rowOff>
    </xdr:from>
    <xdr:to>
      <xdr:col>3</xdr:col>
      <xdr:colOff>447675</xdr:colOff>
      <xdr:row>18</xdr:row>
      <xdr:rowOff>0</xdr:rowOff>
    </xdr:to>
    <xdr:sp>
      <xdr:nvSpPr>
        <xdr:cNvPr id="21" name="Line 212"/>
        <xdr:cNvSpPr>
          <a:spLocks/>
        </xdr:cNvSpPr>
      </xdr:nvSpPr>
      <xdr:spPr>
        <a:xfrm>
          <a:off x="8667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16</xdr:row>
      <xdr:rowOff>1066800</xdr:rowOff>
    </xdr:from>
    <xdr:to>
      <xdr:col>6</xdr:col>
      <xdr:colOff>542925</xdr:colOff>
      <xdr:row>18</xdr:row>
      <xdr:rowOff>9525</xdr:rowOff>
    </xdr:to>
    <xdr:sp>
      <xdr:nvSpPr>
        <xdr:cNvPr id="24" name="Line 215"/>
        <xdr:cNvSpPr>
          <a:spLocks/>
        </xdr:cNvSpPr>
      </xdr:nvSpPr>
      <xdr:spPr>
        <a:xfrm>
          <a:off x="45339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38125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1162050</xdr:colOff>
      <xdr:row>12</xdr:row>
      <xdr:rowOff>171450</xdr:rowOff>
    </xdr:to>
    <xdr:sp>
      <xdr:nvSpPr>
        <xdr:cNvPr id="39" name="Line 14"/>
        <xdr:cNvSpPr>
          <a:spLocks/>
        </xdr:cNvSpPr>
      </xdr:nvSpPr>
      <xdr:spPr>
        <a:xfrm flipV="1">
          <a:off x="5486400"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542925</xdr:colOff>
      <xdr:row>15</xdr:row>
      <xdr:rowOff>190500</xdr:rowOff>
    </xdr:from>
    <xdr:to>
      <xdr:col>9</xdr:col>
      <xdr:colOff>542925</xdr:colOff>
      <xdr:row>16</xdr:row>
      <xdr:rowOff>38100</xdr:rowOff>
    </xdr:to>
    <xdr:sp>
      <xdr:nvSpPr>
        <xdr:cNvPr id="42" name="Line 211"/>
        <xdr:cNvSpPr>
          <a:spLocks/>
        </xdr:cNvSpPr>
      </xdr:nvSpPr>
      <xdr:spPr>
        <a:xfrm>
          <a:off x="81057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43" name="Line 211"/>
        <xdr:cNvSpPr>
          <a:spLocks/>
        </xdr:cNvSpPr>
      </xdr:nvSpPr>
      <xdr:spPr>
        <a:xfrm>
          <a:off x="92964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1066800</xdr:rowOff>
    </xdr:from>
    <xdr:to>
      <xdr:col>10</xdr:col>
      <xdr:colOff>590550</xdr:colOff>
      <xdr:row>18</xdr:row>
      <xdr:rowOff>9525</xdr:rowOff>
    </xdr:to>
    <xdr:sp>
      <xdr:nvSpPr>
        <xdr:cNvPr id="45" name="Line 217"/>
        <xdr:cNvSpPr>
          <a:spLocks/>
        </xdr:cNvSpPr>
      </xdr:nvSpPr>
      <xdr:spPr>
        <a:xfrm>
          <a:off x="93440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5810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6755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818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3907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534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4029075"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152400</xdr:rowOff>
    </xdr:from>
    <xdr:to>
      <xdr:col>20</xdr:col>
      <xdr:colOff>9525</xdr:colOff>
      <xdr:row>41</xdr:row>
      <xdr:rowOff>152400</xdr:rowOff>
    </xdr:to>
    <xdr:sp>
      <xdr:nvSpPr>
        <xdr:cNvPr id="8" name="Line 22"/>
        <xdr:cNvSpPr>
          <a:spLocks/>
        </xdr:cNvSpPr>
      </xdr:nvSpPr>
      <xdr:spPr>
        <a:xfrm flipV="1">
          <a:off x="7200900" y="9115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180975</xdr:rowOff>
    </xdr:from>
    <xdr:to>
      <xdr:col>20</xdr:col>
      <xdr:colOff>19050</xdr:colOff>
      <xdr:row>35</xdr:row>
      <xdr:rowOff>180975</xdr:rowOff>
    </xdr:to>
    <xdr:sp>
      <xdr:nvSpPr>
        <xdr:cNvPr id="10" name="Line 20"/>
        <xdr:cNvSpPr>
          <a:spLocks/>
        </xdr:cNvSpPr>
      </xdr:nvSpPr>
      <xdr:spPr>
        <a:xfrm>
          <a:off x="7200900" y="79914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038475"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3038475"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038475"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3038475"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0480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3276600"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381000</xdr:colOff>
      <xdr:row>37</xdr:row>
      <xdr:rowOff>161925</xdr:rowOff>
    </xdr:to>
    <xdr:sp>
      <xdr:nvSpPr>
        <xdr:cNvPr id="11" name="Line 18"/>
        <xdr:cNvSpPr>
          <a:spLocks/>
        </xdr:cNvSpPr>
      </xdr:nvSpPr>
      <xdr:spPr>
        <a:xfrm flipH="1" flipV="1">
          <a:off x="7467600" y="8420100"/>
          <a:ext cx="323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381000</xdr:colOff>
      <xdr:row>41</xdr:row>
      <xdr:rowOff>200025</xdr:rowOff>
    </xdr:to>
    <xdr:sp>
      <xdr:nvSpPr>
        <xdr:cNvPr id="12" name="Line 18"/>
        <xdr:cNvSpPr>
          <a:spLocks/>
        </xdr:cNvSpPr>
      </xdr:nvSpPr>
      <xdr:spPr>
        <a:xfrm flipH="1" flipV="1">
          <a:off x="7467600" y="9439275"/>
          <a:ext cx="323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3028950"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0480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22">
      <selection activeCell="E36" sqref="E36"/>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39" t="s">
        <v>589</v>
      </c>
      <c r="C7" s="739"/>
      <c r="D7" s="739"/>
      <c r="E7" s="739"/>
      <c r="F7" s="739"/>
      <c r="G7" s="739"/>
      <c r="H7" s="739"/>
      <c r="I7" s="739"/>
      <c r="J7" s="739"/>
      <c r="K7" s="739"/>
      <c r="L7" s="739"/>
      <c r="M7" s="739"/>
    </row>
    <row r="8" spans="2:13" ht="24.75" customHeight="1">
      <c r="B8" s="740" t="s">
        <v>644</v>
      </c>
      <c r="C8" s="740"/>
      <c r="D8" s="740"/>
      <c r="E8" s="740"/>
      <c r="F8" s="740"/>
      <c r="G8" s="740"/>
      <c r="H8" s="740"/>
      <c r="I8" s="740"/>
      <c r="J8" s="740"/>
      <c r="K8" s="740"/>
      <c r="L8" s="740"/>
      <c r="M8" s="740"/>
    </row>
    <row r="10" spans="2:4" ht="17.25">
      <c r="B10" s="116" t="s">
        <v>294</v>
      </c>
      <c r="C10" s="117"/>
      <c r="D10" s="3"/>
    </row>
    <row r="11" spans="2:4" ht="10.5" customHeight="1">
      <c r="B11" s="4"/>
      <c r="C11" s="3"/>
      <c r="D11" s="3"/>
    </row>
    <row r="12" spans="1:13" s="17" customFormat="1" ht="16.5" customHeight="1">
      <c r="A12" s="18"/>
      <c r="B12" s="741" t="s">
        <v>301</v>
      </c>
      <c r="C12" s="741"/>
      <c r="D12" s="741"/>
      <c r="E12" s="741"/>
      <c r="F12" s="741"/>
      <c r="G12" s="741"/>
      <c r="H12" s="741"/>
      <c r="I12" s="741"/>
      <c r="J12" s="741"/>
      <c r="K12" s="741"/>
      <c r="L12" s="741"/>
      <c r="M12" s="741"/>
    </row>
    <row r="13" spans="2:13" ht="10.5" customHeight="1">
      <c r="B13" s="118"/>
      <c r="C13" s="119"/>
      <c r="D13" s="118"/>
      <c r="E13" s="10"/>
      <c r="F13" s="118"/>
      <c r="G13" s="53"/>
      <c r="H13" s="53"/>
      <c r="I13" s="53"/>
      <c r="J13" s="53"/>
      <c r="K13" s="53"/>
      <c r="L13" s="561"/>
      <c r="M13" s="562"/>
    </row>
    <row r="14" spans="2:11" ht="15.75" customHeight="1">
      <c r="B14" s="120" t="s">
        <v>302</v>
      </c>
      <c r="C14" s="742" t="s">
        <v>488</v>
      </c>
      <c r="D14" s="742"/>
      <c r="E14" s="742"/>
      <c r="F14" s="742"/>
      <c r="G14" s="742"/>
      <c r="H14" s="742"/>
      <c r="I14" s="742"/>
      <c r="J14" s="742"/>
      <c r="K14" s="742"/>
    </row>
    <row r="15" spans="2:11" ht="7.5" customHeight="1">
      <c r="B15" s="121"/>
      <c r="C15" s="743"/>
      <c r="D15" s="744"/>
      <c r="E15" s="744"/>
      <c r="F15" s="744"/>
      <c r="G15" s="744"/>
      <c r="H15" s="744"/>
      <c r="I15" s="744"/>
      <c r="J15" s="744"/>
      <c r="K15" s="745"/>
    </row>
    <row r="16" spans="2:11" ht="15.75" customHeight="1">
      <c r="B16" s="121" t="s">
        <v>303</v>
      </c>
      <c r="C16" s="743" t="s">
        <v>305</v>
      </c>
      <c r="D16" s="744"/>
      <c r="E16" s="744"/>
      <c r="F16" s="744"/>
      <c r="G16" s="744"/>
      <c r="H16" s="744"/>
      <c r="I16" s="744"/>
      <c r="J16" s="744"/>
      <c r="K16" s="745"/>
    </row>
    <row r="17" spans="2:11" ht="7.5" customHeight="1">
      <c r="B17" s="121"/>
      <c r="C17" s="743"/>
      <c r="D17" s="744"/>
      <c r="E17" s="744"/>
      <c r="F17" s="744"/>
      <c r="G17" s="744"/>
      <c r="H17" s="744"/>
      <c r="I17" s="744"/>
      <c r="J17" s="744"/>
      <c r="K17" s="745"/>
    </row>
    <row r="18" spans="2:12" ht="15.75" customHeight="1">
      <c r="B18" s="121" t="s">
        <v>306</v>
      </c>
      <c r="C18" s="743" t="s">
        <v>140</v>
      </c>
      <c r="D18" s="746"/>
      <c r="E18" s="746"/>
      <c r="F18" s="746"/>
      <c r="G18" s="746"/>
      <c r="H18" s="746"/>
      <c r="I18" s="746"/>
      <c r="J18" s="746"/>
      <c r="K18" s="746"/>
      <c r="L18" s="89" t="s">
        <v>75</v>
      </c>
    </row>
    <row r="19" spans="2:11" ht="7.5" customHeight="1">
      <c r="B19" s="121"/>
      <c r="C19" s="743"/>
      <c r="D19" s="744"/>
      <c r="E19" s="744"/>
      <c r="F19" s="744"/>
      <c r="G19" s="744"/>
      <c r="H19" s="744"/>
      <c r="I19" s="744"/>
      <c r="J19" s="744"/>
      <c r="K19" s="745"/>
    </row>
    <row r="20" spans="2:12" ht="15.75" customHeight="1">
      <c r="B20" s="121" t="s">
        <v>307</v>
      </c>
      <c r="C20" s="743" t="s">
        <v>83</v>
      </c>
      <c r="D20" s="746"/>
      <c r="E20" s="746"/>
      <c r="F20" s="746"/>
      <c r="G20" s="746"/>
      <c r="H20" s="746"/>
      <c r="I20" s="746"/>
      <c r="J20" s="746"/>
      <c r="K20" s="746"/>
      <c r="L20" s="89" t="s">
        <v>291</v>
      </c>
    </row>
    <row r="21" spans="2:11" ht="7.5" customHeight="1">
      <c r="B21" s="121"/>
      <c r="C21" s="743"/>
      <c r="D21" s="744"/>
      <c r="E21" s="744"/>
      <c r="F21" s="744"/>
      <c r="G21" s="744"/>
      <c r="H21" s="744"/>
      <c r="I21" s="744"/>
      <c r="J21" s="744"/>
      <c r="K21" s="745"/>
    </row>
    <row r="22" spans="2:12" ht="15.75" customHeight="1">
      <c r="B22" s="121" t="s">
        <v>308</v>
      </c>
      <c r="C22" s="743" t="s">
        <v>48</v>
      </c>
      <c r="D22" s="746"/>
      <c r="E22" s="746"/>
      <c r="F22" s="746"/>
      <c r="G22" s="746"/>
      <c r="H22" s="746"/>
      <c r="I22" s="746"/>
      <c r="J22" s="746"/>
      <c r="K22" s="746"/>
      <c r="L22" s="89" t="s">
        <v>79</v>
      </c>
    </row>
    <row r="23" spans="2:11" ht="7.5" customHeight="1">
      <c r="B23" s="121"/>
      <c r="C23" s="743"/>
      <c r="D23" s="744"/>
      <c r="E23" s="744"/>
      <c r="F23" s="744"/>
      <c r="G23" s="744"/>
      <c r="H23" s="744"/>
      <c r="I23" s="744"/>
      <c r="J23" s="744"/>
      <c r="K23" s="745"/>
    </row>
    <row r="24" spans="2:12" ht="15.75" customHeight="1">
      <c r="B24" s="121" t="s">
        <v>263</v>
      </c>
      <c r="C24" s="743" t="s">
        <v>84</v>
      </c>
      <c r="D24" s="744"/>
      <c r="E24" s="744"/>
      <c r="F24" s="744"/>
      <c r="G24" s="744"/>
      <c r="H24" s="744"/>
      <c r="I24" s="744"/>
      <c r="J24" s="744"/>
      <c r="K24" s="745"/>
      <c r="L24" s="89" t="s">
        <v>34</v>
      </c>
    </row>
    <row r="25" spans="2:11" ht="7.5" customHeight="1">
      <c r="B25" s="121"/>
      <c r="C25" s="743"/>
      <c r="D25" s="744"/>
      <c r="E25" s="744"/>
      <c r="F25" s="744"/>
      <c r="G25" s="744"/>
      <c r="H25" s="744"/>
      <c r="I25" s="744"/>
      <c r="J25" s="744"/>
      <c r="K25" s="745"/>
    </row>
    <row r="26" spans="2:12" ht="15.75" customHeight="1">
      <c r="B26" s="121" t="s">
        <v>315</v>
      </c>
      <c r="C26" s="743" t="s">
        <v>141</v>
      </c>
      <c r="D26" s="746"/>
      <c r="E26" s="746"/>
      <c r="F26" s="746"/>
      <c r="G26" s="746"/>
      <c r="H26" s="746"/>
      <c r="I26" s="746"/>
      <c r="J26" s="746"/>
      <c r="K26" s="746"/>
      <c r="L26" s="89" t="s">
        <v>80</v>
      </c>
    </row>
    <row r="27" spans="2:11" ht="7.5" customHeight="1">
      <c r="B27" s="121"/>
      <c r="C27" s="743"/>
      <c r="D27" s="744"/>
      <c r="E27" s="744"/>
      <c r="F27" s="744"/>
      <c r="G27" s="744"/>
      <c r="H27" s="744"/>
      <c r="I27" s="744"/>
      <c r="J27" s="744"/>
      <c r="K27" s="745"/>
    </row>
    <row r="28" spans="2:11" ht="15.75" customHeight="1">
      <c r="B28" s="121" t="s">
        <v>264</v>
      </c>
      <c r="C28" s="743" t="s">
        <v>132</v>
      </c>
      <c r="D28" s="744"/>
      <c r="E28" s="744"/>
      <c r="F28" s="744"/>
      <c r="G28" s="744"/>
      <c r="H28" s="744"/>
      <c r="I28" s="744"/>
      <c r="J28" s="744"/>
      <c r="K28" s="745"/>
    </row>
    <row r="29" spans="2:13" s="7" customFormat="1" ht="13.5">
      <c r="B29" s="12"/>
      <c r="C29" s="747"/>
      <c r="D29" s="747"/>
      <c r="E29" s="747"/>
      <c r="F29" s="747"/>
      <c r="G29" s="747"/>
      <c r="H29" s="747"/>
      <c r="I29" s="747"/>
      <c r="J29" s="747"/>
      <c r="K29" s="747"/>
      <c r="L29" s="563"/>
      <c r="M29" s="564"/>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A16" sqref="A16"/>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08" t="s">
        <v>198</v>
      </c>
      <c r="D5" s="909"/>
      <c r="E5" s="909"/>
      <c r="F5" s="909"/>
      <c r="G5" s="909"/>
      <c r="H5" s="909"/>
      <c r="I5" s="909"/>
      <c r="J5" s="909"/>
      <c r="K5" s="909"/>
      <c r="L5" s="909"/>
      <c r="M5" s="909"/>
      <c r="N5" s="26"/>
      <c r="O5" s="26"/>
      <c r="P5" s="26"/>
    </row>
    <row r="6" ht="9.75" customHeight="1"/>
    <row r="7" spans="3:16" ht="17.25" customHeight="1">
      <c r="C7" s="910" t="s">
        <v>11</v>
      </c>
      <c r="D7" s="911"/>
      <c r="E7" s="911"/>
      <c r="F7" s="911"/>
      <c r="G7" s="911"/>
      <c r="H7" s="911"/>
      <c r="I7" s="911"/>
      <c r="J7" s="911"/>
      <c r="K7" s="911"/>
      <c r="L7" s="911"/>
      <c r="M7" s="911"/>
      <c r="N7" s="911"/>
      <c r="O7" s="911"/>
      <c r="P7" s="912"/>
    </row>
    <row r="8" spans="3:16" ht="25.5" customHeight="1">
      <c r="C8" s="916"/>
      <c r="D8" s="917"/>
      <c r="E8" s="917"/>
      <c r="F8" s="917"/>
      <c r="G8" s="917"/>
      <c r="H8" s="917"/>
      <c r="I8" s="917"/>
      <c r="J8" s="917"/>
      <c r="K8" s="917"/>
      <c r="L8" s="917"/>
      <c r="M8" s="917"/>
      <c r="N8" s="917"/>
      <c r="O8" s="917"/>
      <c r="P8" s="918"/>
    </row>
    <row r="9" spans="3:16" ht="39" customHeight="1">
      <c r="C9" s="913" t="s">
        <v>252</v>
      </c>
      <c r="D9" s="914"/>
      <c r="E9" s="914"/>
      <c r="F9" s="914"/>
      <c r="G9" s="914"/>
      <c r="H9" s="914"/>
      <c r="I9" s="914"/>
      <c r="J9" s="914"/>
      <c r="K9" s="914"/>
      <c r="L9" s="914"/>
      <c r="M9" s="914"/>
      <c r="N9" s="914"/>
      <c r="O9" s="914"/>
      <c r="P9" s="915"/>
    </row>
    <row r="10" spans="3:16" ht="15" customHeight="1">
      <c r="C10" s="919"/>
      <c r="D10" s="920"/>
      <c r="E10" s="920"/>
      <c r="F10" s="920"/>
      <c r="G10" s="920"/>
      <c r="H10" s="920"/>
      <c r="I10" s="920"/>
      <c r="J10" s="920"/>
      <c r="K10" s="920"/>
      <c r="L10" s="920"/>
      <c r="M10" s="920"/>
      <c r="N10" s="920"/>
      <c r="O10" s="920"/>
      <c r="P10" s="921"/>
    </row>
    <row r="11" spans="3:16" ht="15" customHeight="1">
      <c r="C11" s="919"/>
      <c r="D11" s="920"/>
      <c r="E11" s="920"/>
      <c r="F11" s="920"/>
      <c r="G11" s="920"/>
      <c r="H11" s="920"/>
      <c r="I11" s="920"/>
      <c r="J11" s="920"/>
      <c r="K11" s="920"/>
      <c r="L11" s="920"/>
      <c r="M11" s="920"/>
      <c r="N11" s="920"/>
      <c r="O11" s="920"/>
      <c r="P11" s="921"/>
    </row>
    <row r="12" spans="3:16" ht="15" customHeight="1">
      <c r="C12" s="919"/>
      <c r="D12" s="920"/>
      <c r="E12" s="920"/>
      <c r="F12" s="920"/>
      <c r="G12" s="920"/>
      <c r="H12" s="920"/>
      <c r="I12" s="920"/>
      <c r="J12" s="920"/>
      <c r="K12" s="920"/>
      <c r="L12" s="920"/>
      <c r="M12" s="920"/>
      <c r="N12" s="920"/>
      <c r="O12" s="920"/>
      <c r="P12" s="921"/>
    </row>
    <row r="13" spans="3:16" ht="15" customHeight="1">
      <c r="C13" s="919"/>
      <c r="D13" s="922"/>
      <c r="E13" s="922"/>
      <c r="F13" s="922"/>
      <c r="G13" s="922"/>
      <c r="H13" s="922"/>
      <c r="I13" s="922"/>
      <c r="J13" s="922"/>
      <c r="K13" s="922"/>
      <c r="L13" s="922"/>
      <c r="M13" s="922"/>
      <c r="N13" s="922"/>
      <c r="O13" s="922"/>
      <c r="P13" s="923"/>
    </row>
    <row r="14" spans="3:16" ht="15" customHeight="1">
      <c r="C14" s="919"/>
      <c r="D14" s="920"/>
      <c r="E14" s="920"/>
      <c r="F14" s="920"/>
      <c r="G14" s="920"/>
      <c r="H14" s="920"/>
      <c r="I14" s="920"/>
      <c r="J14" s="920"/>
      <c r="K14" s="920"/>
      <c r="L14" s="920"/>
      <c r="M14" s="920"/>
      <c r="N14" s="920"/>
      <c r="O14" s="920"/>
      <c r="P14" s="921"/>
    </row>
    <row r="15" spans="3:16" ht="15" customHeight="1">
      <c r="C15" s="919"/>
      <c r="D15" s="920"/>
      <c r="E15" s="920"/>
      <c r="F15" s="920"/>
      <c r="G15" s="920"/>
      <c r="H15" s="920"/>
      <c r="I15" s="920"/>
      <c r="J15" s="920"/>
      <c r="K15" s="920"/>
      <c r="L15" s="920"/>
      <c r="M15" s="920"/>
      <c r="N15" s="920"/>
      <c r="O15" s="920"/>
      <c r="P15" s="921"/>
    </row>
    <row r="16" spans="3:16" ht="15" customHeight="1">
      <c r="C16" s="919"/>
      <c r="D16" s="920"/>
      <c r="E16" s="920"/>
      <c r="F16" s="920"/>
      <c r="G16" s="920"/>
      <c r="H16" s="920"/>
      <c r="I16" s="920"/>
      <c r="J16" s="920"/>
      <c r="K16" s="920"/>
      <c r="L16" s="920"/>
      <c r="M16" s="920"/>
      <c r="N16" s="920"/>
      <c r="O16" s="920"/>
      <c r="P16" s="921"/>
    </row>
    <row r="17" spans="3:16" ht="15" customHeight="1">
      <c r="C17" s="919"/>
      <c r="D17" s="922"/>
      <c r="E17" s="922"/>
      <c r="F17" s="922"/>
      <c r="G17" s="922"/>
      <c r="H17" s="922"/>
      <c r="I17" s="922"/>
      <c r="J17" s="922"/>
      <c r="K17" s="922"/>
      <c r="L17" s="922"/>
      <c r="M17" s="922"/>
      <c r="N17" s="922"/>
      <c r="O17" s="922"/>
      <c r="P17" s="923"/>
    </row>
    <row r="18" spans="3:16" ht="15" customHeight="1">
      <c r="C18" s="919"/>
      <c r="D18" s="922"/>
      <c r="E18" s="922"/>
      <c r="F18" s="922"/>
      <c r="G18" s="922"/>
      <c r="H18" s="922"/>
      <c r="I18" s="922"/>
      <c r="J18" s="922"/>
      <c r="K18" s="922"/>
      <c r="L18" s="922"/>
      <c r="M18" s="922"/>
      <c r="N18" s="922"/>
      <c r="O18" s="922"/>
      <c r="P18" s="923"/>
    </row>
    <row r="19" spans="3:16" ht="15" customHeight="1">
      <c r="C19" s="910" t="s">
        <v>43</v>
      </c>
      <c r="D19" s="911"/>
      <c r="E19" s="911"/>
      <c r="F19" s="911"/>
      <c r="G19" s="911"/>
      <c r="H19" s="911"/>
      <c r="I19" s="911"/>
      <c r="J19" s="911"/>
      <c r="K19" s="911"/>
      <c r="L19" s="911"/>
      <c r="M19" s="911"/>
      <c r="N19" s="911"/>
      <c r="O19" s="911"/>
      <c r="P19" s="912"/>
    </row>
    <row r="20" spans="3:16" ht="15" customHeight="1">
      <c r="C20" s="919"/>
      <c r="D20" s="924"/>
      <c r="E20" s="924"/>
      <c r="F20" s="924"/>
      <c r="G20" s="924"/>
      <c r="H20" s="924"/>
      <c r="I20" s="924"/>
      <c r="J20" s="924"/>
      <c r="K20" s="924"/>
      <c r="L20" s="924"/>
      <c r="M20" s="924"/>
      <c r="N20" s="924"/>
      <c r="O20" s="924"/>
      <c r="P20" s="925"/>
    </row>
    <row r="21" spans="3:16" ht="15" customHeight="1">
      <c r="C21" s="919"/>
      <c r="D21" s="924"/>
      <c r="E21" s="924"/>
      <c r="F21" s="924"/>
      <c r="G21" s="924"/>
      <c r="H21" s="924"/>
      <c r="I21" s="924"/>
      <c r="J21" s="924"/>
      <c r="K21" s="924"/>
      <c r="L21" s="924"/>
      <c r="M21" s="924"/>
      <c r="N21" s="924"/>
      <c r="O21" s="924"/>
      <c r="P21" s="925"/>
    </row>
    <row r="22" spans="3:16" ht="15" customHeight="1">
      <c r="C22" s="919"/>
      <c r="D22" s="924"/>
      <c r="E22" s="924"/>
      <c r="F22" s="924"/>
      <c r="G22" s="924"/>
      <c r="H22" s="924"/>
      <c r="I22" s="924"/>
      <c r="J22" s="924"/>
      <c r="K22" s="924"/>
      <c r="L22" s="924"/>
      <c r="M22" s="924"/>
      <c r="N22" s="924"/>
      <c r="O22" s="924"/>
      <c r="P22" s="925"/>
    </row>
    <row r="23" spans="3:16" ht="15" customHeight="1">
      <c r="C23" s="919"/>
      <c r="D23" s="924"/>
      <c r="E23" s="924"/>
      <c r="F23" s="924"/>
      <c r="G23" s="924"/>
      <c r="H23" s="924"/>
      <c r="I23" s="924"/>
      <c r="J23" s="924"/>
      <c r="K23" s="924"/>
      <c r="L23" s="924"/>
      <c r="M23" s="924"/>
      <c r="N23" s="924"/>
      <c r="O23" s="924"/>
      <c r="P23" s="925"/>
    </row>
    <row r="24" spans="3:16" ht="15" customHeight="1">
      <c r="C24" s="926"/>
      <c r="D24" s="927"/>
      <c r="E24" s="927"/>
      <c r="F24" s="927"/>
      <c r="G24" s="927"/>
      <c r="H24" s="927"/>
      <c r="I24" s="927"/>
      <c r="J24" s="927"/>
      <c r="K24" s="927"/>
      <c r="L24" s="927"/>
      <c r="M24" s="927"/>
      <c r="N24" s="927"/>
      <c r="O24" s="927"/>
      <c r="P24" s="928"/>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60" t="s">
        <v>310</v>
      </c>
      <c r="C3" s="760"/>
      <c r="D3" s="760"/>
      <c r="E3" s="760"/>
      <c r="F3" s="760"/>
      <c r="G3" s="760"/>
      <c r="H3" s="760"/>
      <c r="I3" s="760"/>
      <c r="J3" s="760"/>
      <c r="K3" s="760"/>
    </row>
    <row r="4" ht="9.75" customHeight="1">
      <c r="C4" s="13"/>
    </row>
    <row r="5" spans="2:11" s="17" customFormat="1" ht="15">
      <c r="B5" s="762" t="s">
        <v>311</v>
      </c>
      <c r="C5" s="762"/>
      <c r="D5" s="762"/>
      <c r="E5" s="762"/>
      <c r="F5" s="762"/>
      <c r="G5" s="762"/>
      <c r="H5" s="762"/>
      <c r="I5" s="762"/>
      <c r="J5" s="762"/>
      <c r="K5" s="762"/>
    </row>
    <row r="6" spans="2:10" ht="7.5" customHeight="1">
      <c r="B6" s="14"/>
      <c r="C6" s="15"/>
      <c r="D6" s="9"/>
      <c r="F6" s="9"/>
      <c r="G6" s="6"/>
      <c r="H6" s="6"/>
      <c r="I6" s="6"/>
      <c r="J6" s="6"/>
    </row>
    <row r="7" spans="2:11" s="10" customFormat="1" ht="40.5" customHeight="1">
      <c r="B7" s="748" t="s">
        <v>591</v>
      </c>
      <c r="C7" s="748"/>
      <c r="D7" s="748"/>
      <c r="E7" s="748"/>
      <c r="F7" s="748"/>
      <c r="G7" s="748"/>
      <c r="H7" s="748"/>
      <c r="I7" s="748"/>
      <c r="J7" s="748"/>
      <c r="K7" s="748"/>
    </row>
    <row r="8" spans="2:11" s="10" customFormat="1" ht="7.5" customHeight="1">
      <c r="B8" s="39"/>
      <c r="C8" s="39"/>
      <c r="D8" s="39"/>
      <c r="E8" s="39"/>
      <c r="F8" s="39"/>
      <c r="G8" s="39"/>
      <c r="H8" s="39"/>
      <c r="I8" s="39"/>
      <c r="J8" s="39"/>
      <c r="K8" s="39"/>
    </row>
    <row r="9" spans="2:11" s="10" customFormat="1" ht="27" customHeight="1">
      <c r="B9" s="748" t="s">
        <v>175</v>
      </c>
      <c r="C9" s="749"/>
      <c r="D9" s="749"/>
      <c r="E9" s="749"/>
      <c r="F9" s="749"/>
      <c r="G9" s="749"/>
      <c r="H9" s="749"/>
      <c r="I9" s="749"/>
      <c r="J9" s="749"/>
      <c r="K9" s="749"/>
    </row>
    <row r="10" spans="2:11" s="10" customFormat="1" ht="4.5" customHeight="1">
      <c r="B10" s="122"/>
      <c r="C10" s="122"/>
      <c r="D10" s="122"/>
      <c r="E10" s="122"/>
      <c r="F10" s="122"/>
      <c r="G10" s="122"/>
      <c r="H10" s="122"/>
      <c r="I10" s="122"/>
      <c r="J10" s="122"/>
      <c r="K10" s="122"/>
    </row>
    <row r="11" spans="2:11" s="2" customFormat="1" ht="26.25" customHeight="1">
      <c r="B11" s="750" t="s">
        <v>645</v>
      </c>
      <c r="C11" s="750"/>
      <c r="D11" s="750"/>
      <c r="E11" s="750"/>
      <c r="F11" s="750"/>
      <c r="G11" s="750"/>
      <c r="H11" s="750"/>
      <c r="I11" s="750"/>
      <c r="J11" s="750"/>
      <c r="K11" s="750"/>
    </row>
    <row r="12" spans="2:11" s="10" customFormat="1" ht="4.5" customHeight="1">
      <c r="B12" s="39"/>
      <c r="C12" s="39"/>
      <c r="D12" s="39"/>
      <c r="E12" s="39"/>
      <c r="F12" s="39"/>
      <c r="G12" s="39"/>
      <c r="H12" s="39"/>
      <c r="I12" s="39"/>
      <c r="J12" s="39"/>
      <c r="K12" s="39"/>
    </row>
    <row r="13" spans="2:11" s="10" customFormat="1" ht="18.75" customHeight="1">
      <c r="B13" s="764" t="s">
        <v>174</v>
      </c>
      <c r="C13" s="764"/>
      <c r="D13" s="764"/>
      <c r="E13" s="764"/>
      <c r="F13" s="764"/>
      <c r="G13" s="764"/>
      <c r="H13" s="764"/>
      <c r="I13" s="764"/>
      <c r="J13" s="764"/>
      <c r="K13" s="764"/>
    </row>
    <row r="14" spans="2:11" s="10" customFormat="1" ht="4.5" customHeight="1">
      <c r="B14" s="39"/>
      <c r="C14" s="39"/>
      <c r="D14" s="39"/>
      <c r="E14" s="39"/>
      <c r="F14" s="39"/>
      <c r="G14" s="39"/>
      <c r="H14" s="39"/>
      <c r="I14" s="39"/>
      <c r="J14" s="39"/>
      <c r="K14" s="39"/>
    </row>
    <row r="15" spans="2:11" s="50" customFormat="1" ht="26.25" customHeight="1">
      <c r="B15" s="766" t="s">
        <v>584</v>
      </c>
      <c r="C15" s="766"/>
      <c r="D15" s="766"/>
      <c r="E15" s="766"/>
      <c r="F15" s="766"/>
      <c r="G15" s="766"/>
      <c r="H15" s="766"/>
      <c r="I15" s="766"/>
      <c r="J15" s="766"/>
      <c r="K15" s="766"/>
    </row>
    <row r="16" spans="2:11" s="10" customFormat="1" ht="4.5" customHeight="1">
      <c r="B16" s="39"/>
      <c r="C16" s="39"/>
      <c r="D16" s="39"/>
      <c r="E16" s="39"/>
      <c r="F16" s="39"/>
      <c r="G16" s="39"/>
      <c r="H16" s="39"/>
      <c r="I16" s="39"/>
      <c r="J16" s="39"/>
      <c r="K16" s="39"/>
    </row>
    <row r="17" spans="2:11" s="10" customFormat="1" ht="29.25" customHeight="1">
      <c r="B17" s="748" t="s">
        <v>42</v>
      </c>
      <c r="C17" s="748"/>
      <c r="D17" s="748"/>
      <c r="E17" s="748"/>
      <c r="F17" s="748"/>
      <c r="G17" s="748"/>
      <c r="H17" s="748"/>
      <c r="I17" s="748"/>
      <c r="J17" s="748"/>
      <c r="K17" s="748"/>
    </row>
    <row r="18" spans="2:11" s="10" customFormat="1" ht="4.5" customHeight="1">
      <c r="B18" s="122"/>
      <c r="C18" s="122"/>
      <c r="D18" s="122"/>
      <c r="E18" s="122"/>
      <c r="F18" s="122"/>
      <c r="G18" s="122"/>
      <c r="H18" s="122"/>
      <c r="I18" s="122"/>
      <c r="J18" s="122"/>
      <c r="K18" s="122"/>
    </row>
    <row r="19" spans="2:11" s="10" customFormat="1" ht="26.25" customHeight="1">
      <c r="B19" s="748" t="s">
        <v>189</v>
      </c>
      <c r="C19" s="748"/>
      <c r="D19" s="748"/>
      <c r="E19" s="748"/>
      <c r="F19" s="748"/>
      <c r="G19" s="748"/>
      <c r="H19" s="748"/>
      <c r="I19" s="748"/>
      <c r="J19" s="748"/>
      <c r="K19" s="748"/>
    </row>
    <row r="20" spans="2:11" s="10" customFormat="1" ht="4.5" customHeight="1">
      <c r="B20" s="115"/>
      <c r="C20" s="115"/>
      <c r="D20" s="115"/>
      <c r="E20" s="115"/>
      <c r="F20" s="115"/>
      <c r="G20" s="115"/>
      <c r="H20" s="115"/>
      <c r="I20" s="115"/>
      <c r="J20" s="115"/>
      <c r="K20" s="115"/>
    </row>
    <row r="21" spans="2:11" s="10" customFormat="1" ht="26.25" customHeight="1">
      <c r="B21" s="748" t="s">
        <v>513</v>
      </c>
      <c r="C21" s="748"/>
      <c r="D21" s="748"/>
      <c r="E21" s="748"/>
      <c r="F21" s="748"/>
      <c r="G21" s="748"/>
      <c r="H21" s="748"/>
      <c r="I21" s="748"/>
      <c r="J21" s="748"/>
      <c r="K21" s="748"/>
    </row>
    <row r="22" spans="2:11" s="10" customFormat="1" ht="26.25" customHeight="1">
      <c r="B22" s="767" t="s">
        <v>74</v>
      </c>
      <c r="C22" s="767"/>
      <c r="D22" s="767"/>
      <c r="E22" s="767"/>
      <c r="F22" s="767"/>
      <c r="G22" s="767"/>
      <c r="H22" s="767"/>
      <c r="I22" s="767"/>
      <c r="J22" s="767"/>
      <c r="K22" s="767"/>
    </row>
    <row r="23" spans="2:11" s="10" customFormat="1" ht="6.75" customHeight="1">
      <c r="B23" s="124"/>
      <c r="C23" s="39"/>
      <c r="D23" s="39"/>
      <c r="E23" s="39"/>
      <c r="F23" s="39"/>
      <c r="G23" s="39"/>
      <c r="H23" s="39"/>
      <c r="I23" s="39"/>
      <c r="J23" s="39"/>
      <c r="K23" s="39"/>
    </row>
    <row r="24" spans="2:11" s="10" customFormat="1" ht="38.25" customHeight="1">
      <c r="B24" s="748" t="s">
        <v>583</v>
      </c>
      <c r="C24" s="748"/>
      <c r="D24" s="748"/>
      <c r="E24" s="765"/>
      <c r="F24" s="765"/>
      <c r="G24" s="765"/>
      <c r="H24" s="765"/>
      <c r="I24" s="765"/>
      <c r="J24" s="765"/>
      <c r="K24" s="765"/>
    </row>
    <row r="25" spans="2:11" s="10" customFormat="1" ht="8.25" customHeight="1">
      <c r="B25" s="748"/>
      <c r="C25" s="761"/>
      <c r="D25" s="761"/>
      <c r="E25" s="761"/>
      <c r="F25" s="761"/>
      <c r="G25" s="761"/>
      <c r="H25" s="761"/>
      <c r="I25" s="761"/>
      <c r="J25" s="761"/>
      <c r="K25" s="761"/>
    </row>
    <row r="26" spans="2:11" ht="0.75" customHeight="1">
      <c r="B26" s="157"/>
      <c r="C26" s="158"/>
      <c r="D26" s="158"/>
      <c r="E26" s="158"/>
      <c r="F26" s="158"/>
      <c r="G26" s="158"/>
      <c r="H26" s="158"/>
      <c r="I26" s="158"/>
      <c r="J26" s="158"/>
      <c r="K26" s="159"/>
    </row>
    <row r="27" spans="2:11" s="17" customFormat="1" ht="15">
      <c r="B27" s="762" t="s">
        <v>312</v>
      </c>
      <c r="C27" s="763"/>
      <c r="D27" s="763"/>
      <c r="E27" s="763"/>
      <c r="F27" s="763"/>
      <c r="G27" s="763"/>
      <c r="H27" s="763"/>
      <c r="I27" s="763"/>
      <c r="J27" s="763"/>
      <c r="K27" s="763"/>
    </row>
    <row r="28" spans="2:11" ht="7.5" customHeight="1">
      <c r="B28" s="90"/>
      <c r="C28" s="37"/>
      <c r="D28" s="90"/>
      <c r="E28" s="37"/>
      <c r="F28" s="90"/>
      <c r="G28" s="37"/>
      <c r="H28" s="90"/>
      <c r="I28" s="37"/>
      <c r="J28" s="90"/>
      <c r="K28" s="37"/>
    </row>
    <row r="29" spans="2:11" ht="7.5" customHeight="1">
      <c r="B29" s="769"/>
      <c r="C29" s="769"/>
      <c r="D29" s="769"/>
      <c r="E29" s="769"/>
      <c r="F29" s="769"/>
      <c r="G29" s="769"/>
      <c r="H29" s="769"/>
      <c r="I29" s="769"/>
      <c r="J29" s="769"/>
      <c r="K29" s="769"/>
    </row>
    <row r="30" spans="2:11" s="50" customFormat="1" ht="15.75" customHeight="1">
      <c r="B30" s="126" t="s">
        <v>313</v>
      </c>
      <c r="C30" s="750" t="s">
        <v>179</v>
      </c>
      <c r="D30" s="750"/>
      <c r="E30" s="750"/>
      <c r="F30" s="750"/>
      <c r="G30" s="750"/>
      <c r="H30" s="750"/>
      <c r="I30" s="750"/>
      <c r="J30" s="750"/>
      <c r="K30" s="750"/>
    </row>
    <row r="31" spans="2:11" s="50" customFormat="1" ht="26.25" customHeight="1">
      <c r="B31" s="126" t="s">
        <v>313</v>
      </c>
      <c r="C31" s="768" t="s">
        <v>592</v>
      </c>
      <c r="D31" s="768"/>
      <c r="E31" s="768"/>
      <c r="F31" s="768"/>
      <c r="G31" s="768"/>
      <c r="H31" s="768"/>
      <c r="I31" s="768"/>
      <c r="J31" s="768"/>
      <c r="K31" s="768"/>
    </row>
    <row r="32" spans="2:11" s="40" customFormat="1" ht="51" customHeight="1">
      <c r="B32" s="126" t="s">
        <v>313</v>
      </c>
      <c r="C32" s="768" t="s">
        <v>101</v>
      </c>
      <c r="D32" s="768"/>
      <c r="E32" s="768"/>
      <c r="F32" s="768"/>
      <c r="G32" s="768"/>
      <c r="H32" s="768"/>
      <c r="I32" s="768"/>
      <c r="J32" s="768"/>
      <c r="K32" s="768"/>
    </row>
    <row r="33" spans="2:11" s="50" customFormat="1" ht="26.25" customHeight="1">
      <c r="B33" s="127" t="s">
        <v>313</v>
      </c>
      <c r="C33" s="771" t="s">
        <v>133</v>
      </c>
      <c r="D33" s="771"/>
      <c r="E33" s="771"/>
      <c r="F33" s="771"/>
      <c r="G33" s="771"/>
      <c r="H33" s="771"/>
      <c r="I33" s="771"/>
      <c r="J33" s="771"/>
      <c r="K33" s="771"/>
    </row>
    <row r="34" spans="2:11" s="50" customFormat="1" ht="27.75" customHeight="1">
      <c r="B34" s="127" t="s">
        <v>313</v>
      </c>
      <c r="C34" s="752" t="s">
        <v>180</v>
      </c>
      <c r="D34" s="752"/>
      <c r="E34" s="752"/>
      <c r="F34" s="752"/>
      <c r="G34" s="752"/>
      <c r="H34" s="752"/>
      <c r="I34" s="752"/>
      <c r="J34" s="752"/>
      <c r="K34" s="752"/>
    </row>
    <row r="35" spans="2:11" s="10" customFormat="1" ht="15.75" customHeight="1">
      <c r="B35" s="127" t="s">
        <v>313</v>
      </c>
      <c r="C35" s="764" t="s">
        <v>181</v>
      </c>
      <c r="D35" s="764"/>
      <c r="E35" s="764"/>
      <c r="F35" s="764"/>
      <c r="G35" s="764"/>
      <c r="H35" s="764"/>
      <c r="I35" s="764"/>
      <c r="J35" s="764"/>
      <c r="K35" s="764"/>
    </row>
    <row r="36" spans="2:11" s="50" customFormat="1" ht="15.75" customHeight="1">
      <c r="B36" s="127" t="s">
        <v>313</v>
      </c>
      <c r="C36" s="770" t="s">
        <v>182</v>
      </c>
      <c r="D36" s="770"/>
      <c r="E36" s="770"/>
      <c r="F36" s="770"/>
      <c r="G36" s="770"/>
      <c r="H36" s="770"/>
      <c r="I36" s="770"/>
      <c r="J36" s="770"/>
      <c r="K36" s="770"/>
    </row>
    <row r="37" spans="2:11" s="50" customFormat="1" ht="14.25" customHeight="1">
      <c r="B37" s="127" t="s">
        <v>313</v>
      </c>
      <c r="C37" s="770" t="s">
        <v>36</v>
      </c>
      <c r="D37" s="770"/>
      <c r="E37" s="770"/>
      <c r="F37" s="770"/>
      <c r="G37" s="770"/>
      <c r="H37" s="770"/>
      <c r="I37" s="770"/>
      <c r="J37" s="770"/>
      <c r="K37" s="770"/>
    </row>
    <row r="38" spans="2:11" s="10" customFormat="1" ht="10.5" customHeight="1">
      <c r="B38" s="127"/>
      <c r="C38" s="764"/>
      <c r="D38" s="764"/>
      <c r="E38" s="764"/>
      <c r="F38" s="764"/>
      <c r="G38" s="764"/>
      <c r="H38" s="764"/>
      <c r="I38" s="764"/>
      <c r="J38" s="764"/>
      <c r="K38" s="764"/>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75">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59" t="s">
        <v>596</v>
      </c>
      <c r="D44" s="759"/>
      <c r="E44" s="759"/>
      <c r="F44" s="759"/>
      <c r="G44" s="759"/>
      <c r="H44" s="759"/>
      <c r="I44" s="759"/>
      <c r="J44" s="759"/>
      <c r="K44" s="759"/>
    </row>
    <row r="45" spans="2:11" s="37" customFormat="1" ht="9.75" customHeight="1">
      <c r="B45" s="133"/>
      <c r="C45" s="134"/>
      <c r="D45" s="135"/>
      <c r="E45" s="135"/>
      <c r="F45" s="135"/>
      <c r="G45" s="135"/>
      <c r="H45" s="135"/>
      <c r="I45" s="135"/>
      <c r="J45" s="135"/>
      <c r="K45" s="135"/>
    </row>
    <row r="46" spans="2:11" s="17" customFormat="1" ht="15.75" customHeight="1">
      <c r="B46" s="772" t="s">
        <v>485</v>
      </c>
      <c r="C46" s="773"/>
      <c r="D46" s="773"/>
      <c r="E46" s="773"/>
      <c r="F46" s="773"/>
      <c r="G46" s="773"/>
      <c r="H46" s="773"/>
      <c r="I46" s="773"/>
      <c r="J46" s="773"/>
      <c r="K46" s="773"/>
    </row>
    <row r="47" spans="2:11" ht="7.5" customHeight="1">
      <c r="B47" s="11"/>
      <c r="C47" s="11"/>
      <c r="D47" s="136"/>
      <c r="E47" s="136"/>
      <c r="F47" s="11"/>
      <c r="G47" s="136"/>
      <c r="H47" s="136"/>
      <c r="I47" s="136"/>
      <c r="J47" s="136"/>
      <c r="K47" s="125"/>
    </row>
    <row r="48" spans="2:12" ht="24" customHeight="1">
      <c r="B48" s="753" t="s">
        <v>178</v>
      </c>
      <c r="C48" s="754"/>
      <c r="D48" s="754"/>
      <c r="E48" s="754"/>
      <c r="F48" s="754"/>
      <c r="G48" s="754"/>
      <c r="H48" s="754"/>
      <c r="I48" s="754"/>
      <c r="J48" s="754"/>
      <c r="K48" s="755"/>
      <c r="L48" s="22"/>
    </row>
    <row r="49" spans="2:11" ht="81" customHeight="1">
      <c r="B49" s="756" t="s">
        <v>245</v>
      </c>
      <c r="C49" s="757"/>
      <c r="D49" s="757"/>
      <c r="E49" s="757"/>
      <c r="F49" s="757"/>
      <c r="G49" s="757"/>
      <c r="H49" s="757"/>
      <c r="I49" s="757"/>
      <c r="J49" s="757"/>
      <c r="K49" s="758"/>
    </row>
    <row r="50" spans="2:11" ht="24" customHeight="1">
      <c r="B50" s="753" t="s">
        <v>86</v>
      </c>
      <c r="C50" s="754"/>
      <c r="D50" s="754"/>
      <c r="E50" s="754"/>
      <c r="F50" s="754"/>
      <c r="G50" s="754"/>
      <c r="H50" s="754"/>
      <c r="I50" s="754"/>
      <c r="J50" s="754"/>
      <c r="K50" s="755"/>
    </row>
    <row r="51" spans="2:11" ht="79.5" customHeight="1">
      <c r="B51" s="756" t="s">
        <v>212</v>
      </c>
      <c r="C51" s="757"/>
      <c r="D51" s="757"/>
      <c r="E51" s="757"/>
      <c r="F51" s="757"/>
      <c r="G51" s="757"/>
      <c r="H51" s="757"/>
      <c r="I51" s="757"/>
      <c r="J51" s="757"/>
      <c r="K51" s="758"/>
    </row>
    <row r="52" spans="2:11" ht="24" customHeight="1">
      <c r="B52" s="753" t="s">
        <v>197</v>
      </c>
      <c r="C52" s="754"/>
      <c r="D52" s="754"/>
      <c r="E52" s="754"/>
      <c r="F52" s="754"/>
      <c r="G52" s="754"/>
      <c r="H52" s="754"/>
      <c r="I52" s="754"/>
      <c r="J52" s="754"/>
      <c r="K52" s="755"/>
    </row>
    <row r="53" spans="2:11" ht="52.5" customHeight="1">
      <c r="B53" s="756" t="s">
        <v>103</v>
      </c>
      <c r="C53" s="757"/>
      <c r="D53" s="757"/>
      <c r="E53" s="757"/>
      <c r="F53" s="757"/>
      <c r="G53" s="757"/>
      <c r="H53" s="757"/>
      <c r="I53" s="757"/>
      <c r="J53" s="757"/>
      <c r="K53" s="758"/>
    </row>
    <row r="54" spans="2:11" ht="24" customHeight="1">
      <c r="B54" s="753" t="s">
        <v>123</v>
      </c>
      <c r="C54" s="754"/>
      <c r="D54" s="754"/>
      <c r="E54" s="754"/>
      <c r="F54" s="754"/>
      <c r="G54" s="754"/>
      <c r="H54" s="754"/>
      <c r="I54" s="754"/>
      <c r="J54" s="754"/>
      <c r="K54" s="755"/>
    </row>
    <row r="55" spans="2:11" ht="51.75" customHeight="1">
      <c r="B55" s="756" t="s">
        <v>204</v>
      </c>
      <c r="C55" s="757"/>
      <c r="D55" s="757"/>
      <c r="E55" s="757"/>
      <c r="F55" s="757"/>
      <c r="G55" s="757"/>
      <c r="H55" s="757"/>
      <c r="I55" s="757"/>
      <c r="J55" s="757"/>
      <c r="K55" s="758"/>
    </row>
    <row r="56" spans="2:11" ht="24" customHeight="1">
      <c r="B56" s="753" t="s">
        <v>124</v>
      </c>
      <c r="C56" s="754"/>
      <c r="D56" s="754"/>
      <c r="E56" s="754"/>
      <c r="F56" s="754"/>
      <c r="G56" s="754"/>
      <c r="H56" s="754"/>
      <c r="I56" s="754"/>
      <c r="J56" s="754"/>
      <c r="K56" s="755"/>
    </row>
    <row r="57" spans="2:11" ht="27" customHeight="1">
      <c r="B57" s="756" t="s">
        <v>10</v>
      </c>
      <c r="C57" s="757"/>
      <c r="D57" s="757"/>
      <c r="E57" s="757"/>
      <c r="F57" s="757"/>
      <c r="G57" s="757"/>
      <c r="H57" s="757"/>
      <c r="I57" s="757"/>
      <c r="J57" s="757"/>
      <c r="K57" s="758"/>
    </row>
    <row r="58" spans="2:11" s="17" customFormat="1" ht="24" customHeight="1">
      <c r="B58" s="753" t="s">
        <v>198</v>
      </c>
      <c r="C58" s="754"/>
      <c r="D58" s="754"/>
      <c r="E58" s="754"/>
      <c r="F58" s="754"/>
      <c r="G58" s="754"/>
      <c r="H58" s="754"/>
      <c r="I58" s="754"/>
      <c r="J58" s="754"/>
      <c r="K58" s="755"/>
    </row>
    <row r="59" spans="2:11" ht="52.5" customHeight="1">
      <c r="B59" s="756" t="s">
        <v>104</v>
      </c>
      <c r="C59" s="757"/>
      <c r="D59" s="757"/>
      <c r="E59" s="757"/>
      <c r="F59" s="757"/>
      <c r="G59" s="757"/>
      <c r="H59" s="757"/>
      <c r="I59" s="757"/>
      <c r="J59" s="757"/>
      <c r="K59" s="758"/>
    </row>
    <row r="60" spans="2:11" ht="24" customHeight="1">
      <c r="B60" s="128"/>
      <c r="C60" s="128"/>
      <c r="D60" s="128"/>
      <c r="E60" s="128"/>
      <c r="F60" s="128"/>
      <c r="G60" s="128"/>
      <c r="H60" s="128"/>
      <c r="I60" s="128"/>
      <c r="J60" s="128"/>
      <c r="K60" s="128"/>
    </row>
    <row r="61" spans="2:11" ht="15.75" customHeight="1">
      <c r="B61" s="751" t="s">
        <v>269</v>
      </c>
      <c r="C61" s="751"/>
      <c r="D61" s="751"/>
      <c r="E61" s="751"/>
      <c r="F61" s="751"/>
      <c r="G61" s="751"/>
      <c r="H61" s="751"/>
      <c r="I61" s="751"/>
      <c r="J61" s="751"/>
      <c r="K61" s="751"/>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5">
      <c r="B66" s="10"/>
      <c r="C66" s="590" t="s">
        <v>270</v>
      </c>
      <c r="D66" s="594" t="s">
        <v>267</v>
      </c>
      <c r="E66" s="592">
        <v>1000</v>
      </c>
      <c r="F66" s="10"/>
      <c r="G66" s="10"/>
      <c r="H66" s="10"/>
      <c r="I66" s="10"/>
      <c r="J66" s="10"/>
      <c r="K66" s="10"/>
    </row>
    <row r="67" spans="2:11" ht="1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7.25">
      <c r="B3" s="774" t="s">
        <v>305</v>
      </c>
      <c r="C3" s="774"/>
      <c r="D3" s="774"/>
    </row>
    <row r="4" spans="2:4" ht="12.75" customHeight="1">
      <c r="B4" s="97"/>
      <c r="C4" s="137"/>
      <c r="D4" s="138"/>
    </row>
    <row r="5" spans="2:4" ht="15">
      <c r="B5" s="775" t="s">
        <v>131</v>
      </c>
      <c r="C5" s="775"/>
      <c r="D5" s="775"/>
    </row>
    <row r="6" spans="2:7" s="11" customFormat="1" ht="40.5" customHeight="1" thickBot="1">
      <c r="B6" s="777" t="s">
        <v>558</v>
      </c>
      <c r="C6" s="778"/>
      <c r="D6" s="778"/>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6" t="s">
        <v>303</v>
      </c>
      <c r="C17" s="776"/>
      <c r="D17" s="776"/>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6.2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12.75">
      <c r="B48" s="153" t="s">
        <v>186</v>
      </c>
      <c r="C48" s="143" t="s">
        <v>495</v>
      </c>
      <c r="D48" s="152" t="s">
        <v>99</v>
      </c>
      <c r="E48" s="98"/>
      <c r="F48" s="99"/>
      <c r="G48" s="99"/>
    </row>
    <row r="49" spans="2:7" s="11" customFormat="1" ht="26.2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6.2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2.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9">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3" t="s">
        <v>194</v>
      </c>
      <c r="E2" s="783"/>
      <c r="F2" s="783"/>
      <c r="G2" s="783"/>
      <c r="H2" s="783"/>
      <c r="I2" s="783"/>
      <c r="J2" s="783"/>
      <c r="K2" s="783"/>
      <c r="L2" s="783"/>
      <c r="M2" s="783"/>
      <c r="N2" s="783"/>
      <c r="O2" s="783"/>
      <c r="P2" s="783"/>
      <c r="Q2" s="783"/>
      <c r="R2" s="783"/>
      <c r="S2" s="783"/>
      <c r="T2" s="783"/>
      <c r="U2" s="783"/>
      <c r="V2" s="783"/>
      <c r="W2" s="783"/>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84" t="s">
        <v>253</v>
      </c>
      <c r="E3" s="784"/>
      <c r="F3" s="784"/>
      <c r="G3" s="784"/>
      <c r="H3" s="784"/>
      <c r="I3" s="784"/>
      <c r="J3" s="784"/>
      <c r="K3" s="784"/>
      <c r="L3" s="784"/>
      <c r="M3" s="784"/>
      <c r="N3" s="784"/>
      <c r="O3" s="784"/>
      <c r="P3" s="784"/>
      <c r="Q3" s="784"/>
      <c r="R3" s="784"/>
      <c r="S3" s="784"/>
      <c r="T3" s="784"/>
      <c r="U3" s="784"/>
      <c r="V3" s="784"/>
      <c r="W3" s="784"/>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5" t="str">
        <f>LEFT('W1'!D10,LEN('W1'!D10)-7)&amp;" (W1,3)"</f>
        <v>Internal flow (W1,3)</v>
      </c>
      <c r="G10" s="786"/>
      <c r="H10" s="83"/>
      <c r="J10" s="83"/>
      <c r="K10" s="83"/>
      <c r="L10" s="83"/>
      <c r="M10" s="83"/>
      <c r="N10" s="83"/>
      <c r="O10" s="83"/>
      <c r="P10" s="83"/>
      <c r="Q10" s="789" t="s">
        <v>75</v>
      </c>
      <c r="R10" s="779" t="s">
        <v>79</v>
      </c>
      <c r="S10" s="780"/>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1" t="str">
        <f>'W1'!D13&amp;" (W1,6)"</f>
        <v>Outflow of surface and groundwaters to neighbouring countries (W1,6)</v>
      </c>
      <c r="J11" s="792"/>
      <c r="K11" s="83"/>
      <c r="L11" s="86"/>
      <c r="M11" s="86"/>
      <c r="N11" s="86"/>
      <c r="O11" s="83"/>
      <c r="P11" s="83"/>
      <c r="Q11" s="790"/>
      <c r="R11" s="781"/>
      <c r="S11" s="782"/>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1" t="str">
        <f>'W1'!D16&amp;" (W1,9)"</f>
        <v>Outflow of surface and groundwaters to the sea (W1,9)</v>
      </c>
      <c r="J13" s="792"/>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3" t="str">
        <f>'W2'!D13</f>
        <v>of which abstracted by:</v>
      </c>
      <c r="E15" s="794"/>
      <c r="F15" s="794"/>
      <c r="G15" s="794"/>
      <c r="H15" s="794"/>
      <c r="I15" s="794"/>
      <c r="J15" s="794"/>
      <c r="K15" s="795"/>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7" t="str">
        <f>LEFT('W2'!D10,LEN('W2'!D10)-7)&amp;" (W2,3)"</f>
        <v>Gross freshwater abstracted (W2,3)</v>
      </c>
      <c r="E19" s="797"/>
      <c r="F19" s="797"/>
      <c r="G19" s="797"/>
      <c r="H19" s="797"/>
      <c r="I19" s="797"/>
      <c r="J19" s="797"/>
      <c r="K19" s="788"/>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7" t="str">
        <f>LEFT('W2'!D12,LEN('W2'!D12)-7)&amp;" (W2,5)"</f>
        <v>Net freshwater abstracted (W2,5)</v>
      </c>
      <c r="K21" s="788"/>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2" t="str">
        <f>LEFT('W2'!D28,LEN('W2'!D28)-17)&amp;" (W2,20)"</f>
        <v>Total freshwater available for use (W2,20)</v>
      </c>
      <c r="P22" s="83"/>
      <c r="Q22" s="802"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6"/>
      <c r="E23" s="796"/>
      <c r="F23" s="83"/>
      <c r="G23" s="787" t="str">
        <f>'W2'!D11&amp;" (W2,4)"</f>
        <v>Water returned without use (W2,4)</v>
      </c>
      <c r="H23" s="788"/>
      <c r="J23" s="787" t="str">
        <f>'W2'!D24&amp;" (W2,16)"</f>
        <v>Desalinated water (W2,16)</v>
      </c>
      <c r="K23" s="788"/>
      <c r="L23" s="83"/>
      <c r="M23" s="38"/>
      <c r="N23" s="83"/>
      <c r="O23" s="803"/>
      <c r="P23" s="83"/>
      <c r="Q23" s="803"/>
      <c r="R23" s="800" t="str">
        <f>'W2'!D31</f>
        <v>of which used by:</v>
      </c>
      <c r="S23" s="801"/>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7" t="str">
        <f>'W2'!D25&amp;" (W2,17)"</f>
        <v>Reused water (W2,17)</v>
      </c>
      <c r="K25" s="788"/>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8"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7" t="str">
        <f>'W2'!D26&amp;" - "&amp;'W2'!D27&amp;" (= W2,18 - W2,19)"</f>
        <v>Imports of water - Exports of water (= W2,18 - W2,19)</v>
      </c>
      <c r="K27" s="788"/>
      <c r="L27" s="83"/>
      <c r="M27" s="83"/>
      <c r="N27" s="83"/>
      <c r="O27" s="38"/>
      <c r="P27" s="799"/>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90" zoomScaleNormal="90" zoomScaleSheetLayoutView="55" zoomScalePageLayoutView="70" workbookViewId="0" topLeftCell="C1">
      <selection activeCell="F8" sqref="F8"/>
    </sheetView>
  </sheetViews>
  <sheetFormatPr defaultColWidth="12" defaultRowHeight="12.75"/>
  <cols>
    <col min="1" max="1" width="4.33203125" style="162" hidden="1" customWidth="1"/>
    <col min="2" max="2" width="8.832031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83203125" style="201" customWidth="1"/>
    <col min="41" max="41" width="1.83203125" style="200" customWidth="1"/>
    <col min="42" max="42" width="9.16015625" style="200" customWidth="1"/>
    <col min="43" max="43" width="1.83203125" style="200" customWidth="1"/>
    <col min="44" max="44" width="9.16015625" style="200" customWidth="1"/>
    <col min="45" max="45" width="1.83203125" style="200" customWidth="1"/>
    <col min="46" max="46" width="9.16015625"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360</v>
      </c>
      <c r="C3" s="185" t="s">
        <v>296</v>
      </c>
      <c r="D3" s="512" t="s">
        <v>390</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B4" s="652"/>
    </row>
    <row r="5" spans="1:86" s="196" customFormat="1" ht="17.25" customHeight="1">
      <c r="A5" s="192"/>
      <c r="B5" s="163">
        <v>1</v>
      </c>
      <c r="C5" s="815" t="s">
        <v>436</v>
      </c>
      <c r="D5" s="815"/>
      <c r="E5" s="816"/>
      <c r="F5" s="816"/>
      <c r="G5" s="816"/>
      <c r="H5" s="817"/>
      <c r="I5" s="817"/>
      <c r="J5" s="817"/>
      <c r="K5" s="817"/>
      <c r="L5" s="817"/>
      <c r="M5" s="817"/>
      <c r="N5" s="817"/>
      <c r="O5" s="817"/>
      <c r="P5" s="817"/>
      <c r="Q5" s="817"/>
      <c r="R5" s="817"/>
      <c r="S5" s="817"/>
      <c r="T5" s="817"/>
      <c r="U5" s="817"/>
      <c r="V5" s="817"/>
      <c r="W5" s="816"/>
      <c r="X5" s="817"/>
      <c r="Y5" s="816"/>
      <c r="Z5" s="817"/>
      <c r="AA5" s="816"/>
      <c r="AB5" s="817"/>
      <c r="AC5" s="816"/>
      <c r="AD5" s="817"/>
      <c r="AE5" s="816"/>
      <c r="AF5" s="817"/>
      <c r="AG5" s="816"/>
      <c r="AH5" s="817"/>
      <c r="AI5" s="817"/>
      <c r="AJ5" s="817"/>
      <c r="AK5" s="816"/>
      <c r="AL5" s="817"/>
      <c r="AM5" s="816"/>
      <c r="AN5" s="817"/>
      <c r="AO5" s="816"/>
      <c r="AP5" s="816"/>
      <c r="AQ5" s="816"/>
      <c r="AR5" s="816"/>
      <c r="AS5" s="816"/>
      <c r="AT5" s="817"/>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14"/>
      <c r="CD5" s="814"/>
      <c r="CE5" s="814"/>
      <c r="CF5" s="814"/>
      <c r="CG5" s="569"/>
      <c r="CH5" s="569"/>
    </row>
    <row r="6" spans="5:86" ht="15.75" customHeight="1">
      <c r="E6" s="198"/>
      <c r="F6" s="199"/>
      <c r="H6" s="588" t="s">
        <v>490</v>
      </c>
      <c r="Z6" s="203"/>
      <c r="AB6" s="824"/>
      <c r="AC6" s="825"/>
      <c r="AD6" s="825"/>
      <c r="AE6" s="825"/>
      <c r="AF6" s="825"/>
      <c r="AG6" s="825"/>
      <c r="AH6" s="825"/>
      <c r="AI6" s="825"/>
      <c r="AJ6" s="825"/>
      <c r="AK6" s="826"/>
      <c r="AL6" s="826"/>
      <c r="AM6" s="826"/>
      <c r="AN6" s="826"/>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v>2088144.5</v>
      </c>
      <c r="I8" s="523"/>
      <c r="J8" s="513">
        <v>4208330.5</v>
      </c>
      <c r="K8" s="523"/>
      <c r="L8" s="513">
        <v>3524604.75</v>
      </c>
      <c r="M8" s="523"/>
      <c r="N8" s="513">
        <v>4630801.5</v>
      </c>
      <c r="O8" s="523"/>
      <c r="P8" s="513"/>
      <c r="Q8" s="523"/>
      <c r="R8" s="513">
        <v>2448876.75</v>
      </c>
      <c r="S8" s="523"/>
      <c r="T8" s="513">
        <v>1416953.625</v>
      </c>
      <c r="U8" s="523"/>
      <c r="V8" s="513">
        <v>4748768.5</v>
      </c>
      <c r="W8" s="523"/>
      <c r="X8" s="513">
        <v>4586259.5</v>
      </c>
      <c r="Y8" s="523"/>
      <c r="Z8" s="513">
        <v>4460402.5</v>
      </c>
      <c r="AA8" s="523"/>
      <c r="AB8" s="513">
        <v>4653411.5</v>
      </c>
      <c r="AC8" s="523"/>
      <c r="AD8" s="513">
        <v>4028856.25</v>
      </c>
      <c r="AE8" s="523"/>
      <c r="AF8" s="513">
        <v>4463717.5</v>
      </c>
      <c r="AG8" s="523"/>
      <c r="AH8" s="513">
        <v>5606710.5</v>
      </c>
      <c r="AI8" s="523"/>
      <c r="AJ8" s="513">
        <v>3994410.25</v>
      </c>
      <c r="AK8" s="523"/>
      <c r="AL8" s="513">
        <v>3703368.25</v>
      </c>
      <c r="AM8" s="523"/>
      <c r="AN8" s="513">
        <v>3989252.25</v>
      </c>
      <c r="AO8" s="523"/>
      <c r="AP8" s="513">
        <v>5344010.5</v>
      </c>
      <c r="AQ8" s="523"/>
      <c r="AR8" s="513">
        <v>4593702</v>
      </c>
      <c r="AS8" s="523" t="s">
        <v>646</v>
      </c>
      <c r="AT8" s="513">
        <v>4067980</v>
      </c>
      <c r="AU8" s="523" t="s">
        <v>646</v>
      </c>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&gt; 100%</v>
      </c>
      <c r="BH8" s="664" t="str">
        <f>IF(OR(ISBLANK(L8),ISBLANK(J8)),"N/A",IF(ABS((L8-J8)/J8)&gt;1,"&gt; 100%","ok"))</f>
        <v>ok</v>
      </c>
      <c r="BI8" s="664" t="str">
        <f aca="true" t="shared" si="1" ref="BI8:BI16">IF(OR(ISBLANK(N8),ISBLANK(L8)),"N/A",IF(ABS((N8-L8)/L8)&gt;0.25,"&gt; 25%","ok"))</f>
        <v>&gt; 25%</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&gt; 25%</v>
      </c>
      <c r="BM8" s="664" t="str">
        <f aca="true" t="shared" si="5" ref="BM8:BM16">IF(OR(ISBLANK(V8),ISBLANK(T8)),"N/A",IF(ABS((V8-T8)/T8)&gt;0.25,"&gt; 25%","ok"))</f>
        <v>&gt; 25%</v>
      </c>
      <c r="BN8" s="664" t="str">
        <f aca="true" t="shared" si="6" ref="BN8:BN16">IF(OR(ISBLANK(X8),ISBLANK(V8)),"N/A",IF(ABS((X8-V8)/V8)&gt;0.25,"&gt; 25%","ok"))</f>
        <v>ok</v>
      </c>
      <c r="BO8" s="664" t="str">
        <f aca="true" t="shared" si="7" ref="BO8:BO16">IF(OR(ISBLANK(Z8),ISBLANK(X8)),"N/A",IF(ABS((Z8-X8)/X8)&gt;0.25,"&gt; 25%","ok"))</f>
        <v>ok</v>
      </c>
      <c r="BP8" s="664" t="str">
        <f aca="true" t="shared" si="8" ref="BP8:BP16">IF(OR(ISBLANK(AB8),ISBLANK(Z8)),"N/A",IF(ABS((AB8-Z8)/Z8)&gt;0.25,"&gt; 25%","ok"))</f>
        <v>ok</v>
      </c>
      <c r="BQ8" s="664" t="str">
        <f aca="true" t="shared" si="9" ref="BQ8:BQ16">IF(OR(ISBLANK(AD8),ISBLANK(AB8)),"N/A",IF(ABS((AD8-AB8)/AB8)&gt;0.25,"&gt; 25%","ok"))</f>
        <v>ok</v>
      </c>
      <c r="BR8" s="664" t="str">
        <f aca="true" t="shared" si="10" ref="BR8:BR16">IF(OR(ISBLANK(AF8),ISBLANK(AD8)),"N/A",IF(ABS((AF8-AD8)/AD8)&gt;0.25,"&gt; 25%","ok"))</f>
        <v>ok</v>
      </c>
      <c r="BS8" s="664" t="str">
        <f aca="true" t="shared" si="11" ref="BS8:BS16">IF(OR(ISBLANK(AH8),ISBLANK(AF8)),"N/A",IF(ABS((AH8-AF8)/AF8)&gt;0.25,"&gt; 25%","ok"))</f>
        <v>&gt; 25%</v>
      </c>
      <c r="BT8" s="664" t="str">
        <f aca="true" t="shared" si="12" ref="BT8:BT16">IF(OR(ISBLANK(AJ8),ISBLANK(AH8)),"N/A",IF(ABS((AJ8-AH8)/AH8)&gt;0.25,"&gt; 25%","ok"))</f>
        <v>&gt; 25%</v>
      </c>
      <c r="BU8" s="664" t="str">
        <f aca="true" t="shared" si="13" ref="BU8:BU16">IF(OR(ISBLANK(AL8),ISBLANK(AJ8)),"N/A",IF(ABS((AL8-AJ8)/AJ8)&gt;0.25,"&gt; 25%","ok"))</f>
        <v>ok</v>
      </c>
      <c r="BV8" s="664" t="str">
        <f aca="true" t="shared" si="14" ref="BV8:BV16">IF(OR(ISBLANK(AN8),ISBLANK(AL8)),"N/A",IF(ABS((AN8-AL8)/AL8)&gt;0.25,"&gt; 25%","ok"))</f>
        <v>ok</v>
      </c>
      <c r="BW8" s="664" t="str">
        <f aca="true" t="shared" si="15" ref="BW8:BW16">IF(OR(ISBLANK(AP8),ISBLANK(AN8)),"N/A",IF(ABS((AP8-AN8)/AN8)&gt;0.25,"&gt; 25%","ok"))</f>
        <v>&gt; 25%</v>
      </c>
      <c r="BX8" s="664" t="str">
        <f aca="true" t="shared" si="16" ref="BX8:BX16">IF(OR(ISBLANK(AR8),ISBLANK(AP8)),"N/A",IF(ABS((AR8-AP8)/AP8)&gt;0.25,"&gt; 25%","ok"))</f>
        <v>ok</v>
      </c>
      <c r="BY8" s="664" t="str">
        <f>IF(OR(ISBLANK(AT8),ISBLANK(AR8)),"N/A",IF(ABS((AT8-AR8)/AR8)&gt;0.25,"&gt; 25%","ok"))</f>
        <v>ok</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3.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18" t="s">
        <v>258</v>
      </c>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18" t="s">
        <v>241</v>
      </c>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28" t="s">
        <v>143</v>
      </c>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28"/>
      <c r="AW22" s="828"/>
      <c r="AX22" s="828"/>
      <c r="AY22" s="828"/>
      <c r="AZ22" s="828"/>
      <c r="BB22" s="680">
        <v>10</v>
      </c>
      <c r="BC22" s="681" t="s">
        <v>37</v>
      </c>
      <c r="BD22" s="665" t="s">
        <v>298</v>
      </c>
      <c r="BE22" s="665">
        <f>(F8-F9)</f>
        <v>0</v>
      </c>
      <c r="BF22" s="665">
        <f>(H8-H9)</f>
        <v>2088144.5</v>
      </c>
      <c r="BG22" s="665">
        <f>(J8-J9)</f>
        <v>4208330.5</v>
      </c>
      <c r="BH22" s="665">
        <f>(L8-L9)</f>
        <v>3524604.75</v>
      </c>
      <c r="BI22" s="665">
        <f>(N8-N9)</f>
        <v>4630801.5</v>
      </c>
      <c r="BJ22" s="665">
        <f>(P8-P9)</f>
        <v>0</v>
      </c>
      <c r="BK22" s="665">
        <f>(R8-R9)</f>
        <v>2448876.75</v>
      </c>
      <c r="BL22" s="665">
        <f>(T8-T9)</f>
        <v>1416953.625</v>
      </c>
      <c r="BM22" s="665">
        <f>(V8-V9)</f>
        <v>4748768.5</v>
      </c>
      <c r="BN22" s="665">
        <f>(X8-X9)</f>
        <v>4586259.5</v>
      </c>
      <c r="BO22" s="665">
        <f>(Z8-Z9)</f>
        <v>4460402.5</v>
      </c>
      <c r="BP22" s="665">
        <f>(AB8-AB9)</f>
        <v>4653411.5</v>
      </c>
      <c r="BQ22" s="665">
        <f>(AD8-AD9)</f>
        <v>4028856.25</v>
      </c>
      <c r="BR22" s="665">
        <f>(AF8-AF9)</f>
        <v>4463717.5</v>
      </c>
      <c r="BS22" s="665">
        <f>(AH8-AH9)</f>
        <v>5606710.5</v>
      </c>
      <c r="BT22" s="665">
        <f>(AJ8-AJ9)</f>
        <v>3994410.25</v>
      </c>
      <c r="BU22" s="665">
        <f>(AL8-AL9)</f>
        <v>3703368.25</v>
      </c>
      <c r="BV22" s="665">
        <f>(AN8-AN9)</f>
        <v>3989252.25</v>
      </c>
      <c r="BW22" s="665">
        <f>(AP8-AP9)</f>
        <v>5344010.5</v>
      </c>
      <c r="BX22" s="665">
        <f>(AR8-AR9)</f>
        <v>4593702</v>
      </c>
      <c r="BY22" s="665">
        <f>(AT8-AT9)</f>
        <v>4067980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18" t="s">
        <v>110</v>
      </c>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822"/>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34" t="str">
        <f>D8&amp;" (W1, 1)"</f>
        <v>Precipitation                               (W1, 1)</v>
      </c>
      <c r="G26" s="835"/>
      <c r="H26" s="835"/>
      <c r="I26" s="836"/>
      <c r="J26" s="255"/>
      <c r="K26" s="255"/>
      <c r="L26" s="255"/>
      <c r="M26" s="834" t="str">
        <f>D9&amp;"(W1, 2)"</f>
        <v>Actual evapotranspiration(W1, 2)</v>
      </c>
      <c r="N26" s="837"/>
      <c r="O26" s="837"/>
      <c r="P26" s="837"/>
      <c r="Q26" s="838"/>
      <c r="R26" s="253"/>
      <c r="S26" s="255"/>
      <c r="T26" s="255"/>
      <c r="U26" s="255"/>
      <c r="V26" s="255"/>
      <c r="W26" s="255"/>
      <c r="X26" s="255"/>
      <c r="Y26" s="255"/>
      <c r="Z26" s="255"/>
      <c r="AA26" s="254"/>
      <c r="AB26" s="804"/>
      <c r="AC26" s="804"/>
      <c r="AD26" s="804"/>
      <c r="AE26" s="804"/>
      <c r="AF26" s="256"/>
      <c r="AG26" s="256"/>
      <c r="AH26" s="256"/>
      <c r="AI26" s="256"/>
      <c r="AJ26" s="804"/>
      <c r="AK26" s="832"/>
      <c r="AL26" s="832"/>
      <c r="AM26" s="832"/>
      <c r="AN26" s="832"/>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34" t="str">
        <f>LEFT(D10,LEN(D10)-7)&amp;" (W1, 3)"</f>
        <v>Internal flow (W1, 3)</v>
      </c>
      <c r="I28" s="839"/>
      <c r="J28" s="839"/>
      <c r="K28" s="839"/>
      <c r="L28" s="839"/>
      <c r="M28" s="839"/>
      <c r="N28" s="839"/>
      <c r="O28" s="840"/>
      <c r="P28" s="254"/>
      <c r="Q28" s="254"/>
      <c r="R28" s="254"/>
      <c r="S28" s="254"/>
      <c r="T28" s="254"/>
      <c r="U28" s="254"/>
      <c r="V28" s="254"/>
      <c r="W28" s="254"/>
      <c r="X28" s="254"/>
      <c r="Y28" s="254"/>
      <c r="Z28" s="254"/>
      <c r="AA28" s="254"/>
      <c r="AB28" s="253"/>
      <c r="AC28" s="256"/>
      <c r="AD28" s="804"/>
      <c r="AE28" s="833"/>
      <c r="AF28" s="833"/>
      <c r="AG28" s="833"/>
      <c r="AH28" s="833"/>
      <c r="AI28" s="833"/>
      <c r="AJ28" s="833"/>
      <c r="AK28" s="833"/>
      <c r="AL28" s="833"/>
      <c r="AM28" s="256"/>
      <c r="AN28" s="256"/>
      <c r="AO28" s="256"/>
      <c r="AP28" s="256"/>
      <c r="AQ28" s="256"/>
      <c r="AR28" s="256"/>
      <c r="AS28" s="256"/>
      <c r="AT28" s="189"/>
      <c r="AU28" s="191"/>
      <c r="AV28" s="191"/>
      <c r="AW28" s="191"/>
      <c r="AX28" s="189"/>
      <c r="AY28" s="191"/>
      <c r="AZ28" s="252"/>
      <c r="BB28" s="680">
        <v>12</v>
      </c>
      <c r="BC28" s="681" t="s">
        <v>51</v>
      </c>
      <c r="BD28" s="665" t="s">
        <v>298</v>
      </c>
      <c r="BE28" s="665">
        <f>VLOOKUP(B3,CC7:CH183,3,FALSE)</f>
        <v>5179361.6644</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34" t="str">
        <f>D13&amp;" (W1, 6)"</f>
        <v>Outflow of surface and groundwaters to neighbouring countries (W1, 6)</v>
      </c>
      <c r="W29" s="835"/>
      <c r="X29" s="835"/>
      <c r="Y29" s="835"/>
      <c r="Z29" s="835"/>
      <c r="AA29" s="836"/>
      <c r="AB29" s="256"/>
      <c r="AC29" s="256"/>
      <c r="AD29" s="256"/>
      <c r="AE29" s="256"/>
      <c r="AF29" s="256"/>
      <c r="AG29" s="256"/>
      <c r="AH29" s="256"/>
      <c r="AI29" s="256"/>
      <c r="AJ29" s="256"/>
      <c r="AK29" s="256"/>
      <c r="AL29" s="256"/>
      <c r="AM29" s="256"/>
      <c r="AN29" s="256"/>
      <c r="AO29" s="256"/>
      <c r="AP29" s="256"/>
      <c r="AQ29" s="256"/>
      <c r="AR29" s="256"/>
      <c r="AS29" s="256"/>
      <c r="AT29" s="804"/>
      <c r="AU29" s="804"/>
      <c r="AV29" s="804"/>
      <c r="AW29" s="804"/>
      <c r="AX29" s="804"/>
      <c r="AY29" s="804"/>
      <c r="AZ29" s="252"/>
      <c r="BB29" s="683" t="s">
        <v>176</v>
      </c>
      <c r="BC29" s="685" t="s">
        <v>219</v>
      </c>
      <c r="BD29" s="665" t="s">
        <v>298</v>
      </c>
      <c r="BE29" s="665">
        <f>ABS(BE27-BE28)</f>
        <v>5179361.6644</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34" t="str">
        <f>D11&amp;" (W1, 4)"</f>
        <v>Inflow of surface and groundwaters from neighbouring countries (W1, 4)</v>
      </c>
      <c r="G30" s="841"/>
      <c r="H30" s="841"/>
      <c r="I30" s="842"/>
      <c r="J30" s="255"/>
      <c r="K30" s="255"/>
      <c r="L30" s="255"/>
      <c r="M30" s="834" t="str">
        <f>LEFT(D12,LEN(D12)-7)&amp;" (W1, 5)"</f>
        <v>Renewable freshwater resources (W1, 5)</v>
      </c>
      <c r="N30" s="843"/>
      <c r="O30" s="843"/>
      <c r="P30" s="844"/>
      <c r="Q30" s="255"/>
      <c r="R30" s="255"/>
      <c r="S30" s="255"/>
      <c r="T30" s="255"/>
      <c r="U30" s="255"/>
      <c r="V30" s="255"/>
      <c r="W30" s="255"/>
      <c r="X30" s="255"/>
      <c r="Y30" s="255"/>
      <c r="Z30" s="255"/>
      <c r="AA30" s="255"/>
      <c r="AB30" s="804"/>
      <c r="AC30" s="823"/>
      <c r="AD30" s="823"/>
      <c r="AE30" s="823"/>
      <c r="AF30" s="256"/>
      <c r="AG30" s="256"/>
      <c r="AH30" s="256"/>
      <c r="AI30" s="256"/>
      <c r="AJ30" s="256"/>
      <c r="AK30" s="804"/>
      <c r="AL30" s="805"/>
      <c r="AM30" s="805"/>
      <c r="AN30" s="805"/>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34" t="str">
        <f>D16&amp;" (W1, 9)"</f>
        <v>Outflow of surface and groundwaters to the sea (W1, 9)</v>
      </c>
      <c r="W31" s="835"/>
      <c r="X31" s="835"/>
      <c r="Y31" s="835"/>
      <c r="Z31" s="835"/>
      <c r="AA31" s="836"/>
      <c r="AB31" s="804"/>
      <c r="AC31" s="823"/>
      <c r="AD31" s="823"/>
      <c r="AE31" s="823"/>
      <c r="AF31" s="553"/>
      <c r="AG31" s="257"/>
      <c r="AH31" s="253"/>
      <c r="AI31" s="253"/>
      <c r="AJ31" s="253"/>
      <c r="AK31" s="804"/>
      <c r="AL31" s="805"/>
      <c r="AM31" s="805"/>
      <c r="AN31" s="805"/>
      <c r="AO31" s="555"/>
      <c r="AP31" s="555"/>
      <c r="AQ31" s="190"/>
      <c r="AR31" s="190"/>
      <c r="AS31" s="190"/>
      <c r="AT31" s="804"/>
      <c r="AU31" s="804"/>
      <c r="AV31" s="804"/>
      <c r="AW31" s="804"/>
      <c r="AX31" s="804"/>
      <c r="AY31" s="804"/>
      <c r="AZ31" s="260"/>
      <c r="BA31" s="649"/>
      <c r="BB31" s="686">
        <v>13</v>
      </c>
      <c r="BC31" s="681" t="s">
        <v>52</v>
      </c>
      <c r="BD31" s="665" t="s">
        <v>298</v>
      </c>
      <c r="BE31" s="665">
        <f>VLOOKUP(B3,CC7:CH183,4,FALSE)</f>
        <v>2018700</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f>ABS(BE30-BE31)</f>
        <v>2018700</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f>VLOOKUP(B3,CC7:CH183,5,FALSE)</f>
        <v>0</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19" t="s">
        <v>295</v>
      </c>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c r="AY35" s="820"/>
      <c r="AZ35" s="821"/>
      <c r="BB35" s="683" t="s">
        <v>176</v>
      </c>
      <c r="BC35" s="681" t="s">
        <v>221</v>
      </c>
      <c r="BD35" s="665" t="s">
        <v>298</v>
      </c>
      <c r="BE35" s="665">
        <f>ABS(BE33-BE34)</f>
        <v>0</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18" customHeight="1">
      <c r="A36" s="162">
        <v>0</v>
      </c>
      <c r="B36" s="163">
        <v>6676</v>
      </c>
      <c r="C36" s="484" t="s">
        <v>646</v>
      </c>
      <c r="D36" s="829" t="s">
        <v>648</v>
      </c>
      <c r="E36" s="830"/>
      <c r="F36" s="830"/>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0"/>
      <c r="AZ36" s="831"/>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06"/>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7"/>
      <c r="AY37" s="807"/>
      <c r="AZ37" s="808"/>
      <c r="BB37" s="680">
        <v>15</v>
      </c>
      <c r="BC37" s="681" t="s">
        <v>53</v>
      </c>
      <c r="BD37" s="665" t="s">
        <v>298</v>
      </c>
      <c r="BE37" s="665">
        <f>VLOOKUP(B3,CC7:CH183,6,FALSE)</f>
        <v>2018700</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06"/>
      <c r="E38" s="807"/>
      <c r="F38" s="807"/>
      <c r="G38" s="807"/>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7"/>
      <c r="AY38" s="807"/>
      <c r="AZ38" s="808"/>
      <c r="BB38" s="687" t="s">
        <v>176</v>
      </c>
      <c r="BC38" s="688" t="s">
        <v>222</v>
      </c>
      <c r="BD38" s="676" t="s">
        <v>298</v>
      </c>
      <c r="BE38" s="676">
        <f>ABS(BE36-BE37)</f>
        <v>2018700</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06"/>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7"/>
      <c r="AY39" s="807"/>
      <c r="AZ39" s="808"/>
      <c r="BB39" s="689" t="s">
        <v>55</v>
      </c>
      <c r="BC39" s="690" t="s">
        <v>56</v>
      </c>
      <c r="CB39" s="489"/>
      <c r="CC39" s="644">
        <v>344</v>
      </c>
      <c r="CD39" s="644" t="s">
        <v>352</v>
      </c>
      <c r="CE39" s="645">
        <v>0</v>
      </c>
      <c r="CF39" s="646">
        <v>0</v>
      </c>
      <c r="CG39" s="646">
        <v>0</v>
      </c>
      <c r="CH39" s="646">
        <v>0</v>
      </c>
    </row>
    <row r="40" spans="3:86" ht="18" customHeight="1">
      <c r="C40" s="484"/>
      <c r="D40" s="806"/>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807"/>
      <c r="AN40" s="807"/>
      <c r="AO40" s="807"/>
      <c r="AP40" s="807"/>
      <c r="AQ40" s="807"/>
      <c r="AR40" s="807"/>
      <c r="AS40" s="807"/>
      <c r="AT40" s="807"/>
      <c r="AU40" s="807"/>
      <c r="AV40" s="807"/>
      <c r="AW40" s="807"/>
      <c r="AX40" s="807"/>
      <c r="AY40" s="807"/>
      <c r="AZ40" s="808"/>
      <c r="BB40" s="689" t="s">
        <v>57</v>
      </c>
      <c r="BC40" s="690" t="s">
        <v>58</v>
      </c>
      <c r="CC40" s="644">
        <v>446</v>
      </c>
      <c r="CD40" s="644" t="s">
        <v>353</v>
      </c>
      <c r="CE40" s="645">
        <v>0</v>
      </c>
      <c r="CF40" s="646">
        <v>0</v>
      </c>
      <c r="CG40" s="646">
        <v>0</v>
      </c>
      <c r="CH40" s="646">
        <v>0</v>
      </c>
    </row>
    <row r="41" spans="3:86" ht="18" customHeight="1">
      <c r="C41" s="484"/>
      <c r="D41" s="806"/>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7"/>
      <c r="AI41" s="807"/>
      <c r="AJ41" s="807"/>
      <c r="AK41" s="807"/>
      <c r="AL41" s="807"/>
      <c r="AM41" s="807"/>
      <c r="AN41" s="807"/>
      <c r="AO41" s="807"/>
      <c r="AP41" s="807"/>
      <c r="AQ41" s="807"/>
      <c r="AR41" s="807"/>
      <c r="AS41" s="807"/>
      <c r="AT41" s="807"/>
      <c r="AU41" s="807"/>
      <c r="AV41" s="807"/>
      <c r="AW41" s="807"/>
      <c r="AX41" s="807"/>
      <c r="AY41" s="807"/>
      <c r="AZ41" s="808"/>
      <c r="BB41" s="691" t="s">
        <v>60</v>
      </c>
      <c r="BC41" s="690" t="s">
        <v>62</v>
      </c>
      <c r="BD41" s="692"/>
      <c r="CC41" s="644">
        <v>170</v>
      </c>
      <c r="CD41" s="644" t="s">
        <v>354</v>
      </c>
      <c r="CE41" s="645">
        <v>3699270</v>
      </c>
      <c r="CF41" s="646">
        <v>2145000</v>
      </c>
      <c r="CG41" s="646">
        <v>215000</v>
      </c>
      <c r="CH41" s="646">
        <v>2360000</v>
      </c>
    </row>
    <row r="42" spans="3:86" ht="18" customHeight="1">
      <c r="C42" s="484"/>
      <c r="D42" s="806"/>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7"/>
      <c r="AY42" s="807"/>
      <c r="AZ42" s="808"/>
      <c r="BB42" s="691" t="s">
        <v>59</v>
      </c>
      <c r="BC42" s="690" t="s">
        <v>12</v>
      </c>
      <c r="BD42" s="692"/>
      <c r="CC42" s="644">
        <v>174</v>
      </c>
      <c r="CD42" s="644" t="s">
        <v>355</v>
      </c>
      <c r="CE42" s="645">
        <v>1674.9</v>
      </c>
      <c r="CF42" s="646">
        <v>1200</v>
      </c>
      <c r="CG42" s="646">
        <v>0</v>
      </c>
      <c r="CH42" s="646">
        <v>1200</v>
      </c>
    </row>
    <row r="43" spans="3:86" ht="18" customHeight="1">
      <c r="C43" s="484"/>
      <c r="D43" s="806"/>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7"/>
      <c r="AY43" s="807"/>
      <c r="AZ43" s="808"/>
      <c r="BB43" s="689" t="s">
        <v>61</v>
      </c>
      <c r="BC43" s="690" t="s">
        <v>63</v>
      </c>
      <c r="BD43" s="692"/>
      <c r="CC43" s="644">
        <v>178</v>
      </c>
      <c r="CD43" s="644" t="s">
        <v>356</v>
      </c>
      <c r="CE43" s="645">
        <v>562932</v>
      </c>
      <c r="CF43" s="646">
        <v>222000</v>
      </c>
      <c r="CG43" s="646">
        <v>52000</v>
      </c>
      <c r="CH43" s="646">
        <v>832000</v>
      </c>
    </row>
    <row r="44" spans="3:86" ht="18" customHeight="1">
      <c r="C44" s="484"/>
      <c r="D44" s="806"/>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7"/>
      <c r="AY44" s="807"/>
      <c r="AZ44" s="808"/>
      <c r="BD44" s="692"/>
      <c r="CC44" s="644">
        <v>188</v>
      </c>
      <c r="CD44" s="644" t="s">
        <v>357</v>
      </c>
      <c r="CE44" s="645">
        <v>149518.6</v>
      </c>
      <c r="CF44" s="646">
        <v>76840</v>
      </c>
      <c r="CG44" s="646">
        <v>0</v>
      </c>
      <c r="CH44" s="646">
        <v>113000</v>
      </c>
    </row>
    <row r="45" spans="3:86" ht="18" customHeight="1">
      <c r="C45" s="484"/>
      <c r="D45" s="806"/>
      <c r="E45" s="807"/>
      <c r="F45" s="807"/>
      <c r="G45" s="807"/>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7"/>
      <c r="AY45" s="807"/>
      <c r="AZ45" s="808"/>
      <c r="CC45" s="644">
        <v>384</v>
      </c>
      <c r="CD45" s="644" t="s">
        <v>148</v>
      </c>
      <c r="CE45" s="645">
        <v>434676.08</v>
      </c>
      <c r="CF45" s="646">
        <v>37700</v>
      </c>
      <c r="CG45" s="646">
        <v>4300</v>
      </c>
      <c r="CH45" s="646">
        <v>84140</v>
      </c>
    </row>
    <row r="46" spans="3:86" ht="18" customHeight="1">
      <c r="C46" s="484"/>
      <c r="D46" s="806"/>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7"/>
      <c r="AI46" s="807"/>
      <c r="AJ46" s="807"/>
      <c r="AK46" s="807"/>
      <c r="AL46" s="807"/>
      <c r="AM46" s="807"/>
      <c r="AN46" s="807"/>
      <c r="AO46" s="807"/>
      <c r="AP46" s="807"/>
      <c r="AQ46" s="807"/>
      <c r="AR46" s="807"/>
      <c r="AS46" s="807"/>
      <c r="AT46" s="807"/>
      <c r="AU46" s="807"/>
      <c r="AV46" s="807"/>
      <c r="AW46" s="807"/>
      <c r="AX46" s="807"/>
      <c r="AY46" s="807"/>
      <c r="AZ46" s="808"/>
      <c r="BD46" s="692"/>
      <c r="CC46" s="644">
        <v>191</v>
      </c>
      <c r="CD46" s="644" t="s">
        <v>358</v>
      </c>
      <c r="CE46" s="645">
        <v>62989.122</v>
      </c>
      <c r="CF46" s="646">
        <v>0</v>
      </c>
      <c r="CG46" s="646">
        <v>33470</v>
      </c>
      <c r="CH46" s="646">
        <v>105500</v>
      </c>
    </row>
    <row r="47" spans="3:86" ht="18" customHeight="1">
      <c r="C47" s="484"/>
      <c r="D47" s="806"/>
      <c r="E47" s="807"/>
      <c r="F47" s="807"/>
      <c r="G47" s="807"/>
      <c r="H47" s="807"/>
      <c r="I47" s="807"/>
      <c r="J47" s="807"/>
      <c r="K47" s="807"/>
      <c r="L47" s="807"/>
      <c r="M47" s="807"/>
      <c r="N47" s="807"/>
      <c r="O47" s="807"/>
      <c r="P47" s="807"/>
      <c r="Q47" s="807"/>
      <c r="R47" s="807"/>
      <c r="S47" s="807"/>
      <c r="T47" s="807"/>
      <c r="U47" s="807"/>
      <c r="V47" s="807"/>
      <c r="W47" s="807"/>
      <c r="X47" s="807"/>
      <c r="Y47" s="807"/>
      <c r="Z47" s="807"/>
      <c r="AA47" s="807"/>
      <c r="AB47" s="807"/>
      <c r="AC47" s="807"/>
      <c r="AD47" s="807"/>
      <c r="AE47" s="807"/>
      <c r="AF47" s="807"/>
      <c r="AG47" s="807"/>
      <c r="AH47" s="807"/>
      <c r="AI47" s="807"/>
      <c r="AJ47" s="807"/>
      <c r="AK47" s="807"/>
      <c r="AL47" s="807"/>
      <c r="AM47" s="807"/>
      <c r="AN47" s="807"/>
      <c r="AO47" s="807"/>
      <c r="AP47" s="807"/>
      <c r="AQ47" s="807"/>
      <c r="AR47" s="807"/>
      <c r="AS47" s="807"/>
      <c r="AT47" s="807"/>
      <c r="AU47" s="807"/>
      <c r="AV47" s="807"/>
      <c r="AW47" s="807"/>
      <c r="AX47" s="807"/>
      <c r="AY47" s="807"/>
      <c r="AZ47" s="808"/>
      <c r="BB47" s="692"/>
      <c r="BC47" s="692"/>
      <c r="BD47" s="692"/>
      <c r="CC47" s="644">
        <v>192</v>
      </c>
      <c r="CD47" s="644" t="s">
        <v>359</v>
      </c>
      <c r="CE47" s="645">
        <v>146689.8</v>
      </c>
      <c r="CF47" s="646">
        <v>38120</v>
      </c>
      <c r="CG47" s="646">
        <v>0</v>
      </c>
      <c r="CH47" s="646">
        <v>38120</v>
      </c>
    </row>
    <row r="48" spans="3:86" ht="18" customHeight="1">
      <c r="C48" s="484"/>
      <c r="D48" s="806"/>
      <c r="E48" s="807"/>
      <c r="F48" s="807"/>
      <c r="G48" s="807"/>
      <c r="H48" s="807"/>
      <c r="I48" s="807"/>
      <c r="J48" s="807"/>
      <c r="K48" s="807"/>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7"/>
      <c r="AY48" s="807"/>
      <c r="AZ48" s="808"/>
      <c r="CC48" s="644">
        <v>196</v>
      </c>
      <c r="CD48" s="644" t="s">
        <v>360</v>
      </c>
      <c r="CE48" s="645">
        <v>4606.5</v>
      </c>
      <c r="CF48" s="646">
        <v>780</v>
      </c>
      <c r="CG48" s="646">
        <v>0</v>
      </c>
      <c r="CH48" s="646">
        <v>780</v>
      </c>
    </row>
    <row r="49" spans="3:86" ht="18" customHeight="1">
      <c r="C49" s="484"/>
      <c r="D49" s="806"/>
      <c r="E49" s="807"/>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07"/>
      <c r="AY49" s="807"/>
      <c r="AZ49" s="808"/>
      <c r="CC49" s="644">
        <v>408</v>
      </c>
      <c r="CD49" s="644" t="s">
        <v>149</v>
      </c>
      <c r="CE49" s="645">
        <v>127049.16</v>
      </c>
      <c r="CF49" s="646">
        <v>67000</v>
      </c>
      <c r="CG49" s="646">
        <v>0</v>
      </c>
      <c r="CH49" s="646">
        <v>77150</v>
      </c>
    </row>
    <row r="50" spans="3:86" ht="18" customHeight="1">
      <c r="C50" s="484"/>
      <c r="D50" s="806"/>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7"/>
      <c r="AY50" s="807"/>
      <c r="AZ50" s="808"/>
      <c r="CC50" s="644">
        <v>180</v>
      </c>
      <c r="CD50" s="644" t="s">
        <v>150</v>
      </c>
      <c r="CE50" s="645">
        <v>3618118.98</v>
      </c>
      <c r="CF50" s="646">
        <v>900000</v>
      </c>
      <c r="CG50" s="646">
        <v>383000</v>
      </c>
      <c r="CH50" s="646">
        <v>1283000</v>
      </c>
    </row>
    <row r="51" spans="3:86" ht="18" customHeight="1">
      <c r="C51" s="484"/>
      <c r="D51" s="806"/>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7"/>
      <c r="AY51" s="807"/>
      <c r="AZ51" s="808"/>
      <c r="CC51" s="644">
        <v>262</v>
      </c>
      <c r="CD51" s="644" t="s">
        <v>361</v>
      </c>
      <c r="CE51" s="645">
        <v>5104</v>
      </c>
      <c r="CF51" s="646">
        <v>300</v>
      </c>
      <c r="CG51" s="646">
        <v>0</v>
      </c>
      <c r="CH51" s="646">
        <v>300</v>
      </c>
    </row>
    <row r="52" spans="3:86" ht="18" customHeight="1">
      <c r="C52" s="484"/>
      <c r="D52" s="806"/>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7"/>
      <c r="AY52" s="807"/>
      <c r="AZ52" s="808"/>
      <c r="CC52" s="644">
        <v>212</v>
      </c>
      <c r="CD52" s="644" t="s">
        <v>362</v>
      </c>
      <c r="CE52" s="645">
        <v>1562.25</v>
      </c>
      <c r="CF52" s="646">
        <v>200</v>
      </c>
      <c r="CG52" s="646">
        <v>0</v>
      </c>
      <c r="CH52" s="646">
        <v>200</v>
      </c>
    </row>
    <row r="53" spans="3:86" ht="18" customHeight="1">
      <c r="C53" s="484"/>
      <c r="D53" s="806"/>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07"/>
      <c r="AY53" s="807"/>
      <c r="AZ53" s="808"/>
      <c r="CC53" s="644">
        <v>214</v>
      </c>
      <c r="CD53" s="644" t="s">
        <v>363</v>
      </c>
      <c r="CE53" s="645">
        <v>68624.7</v>
      </c>
      <c r="CF53" s="646">
        <v>23500</v>
      </c>
      <c r="CG53" s="646">
        <v>0</v>
      </c>
      <c r="CH53" s="646">
        <v>23500</v>
      </c>
    </row>
    <row r="54" spans="3:86" ht="18" customHeight="1">
      <c r="C54" s="484"/>
      <c r="D54" s="806"/>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7"/>
      <c r="AL54" s="807"/>
      <c r="AM54" s="807"/>
      <c r="AN54" s="807"/>
      <c r="AO54" s="807"/>
      <c r="AP54" s="807"/>
      <c r="AQ54" s="807"/>
      <c r="AR54" s="807"/>
      <c r="AS54" s="807"/>
      <c r="AT54" s="807"/>
      <c r="AU54" s="807"/>
      <c r="AV54" s="807"/>
      <c r="AW54" s="807"/>
      <c r="AX54" s="807"/>
      <c r="AY54" s="807"/>
      <c r="AZ54" s="808"/>
      <c r="CC54" s="644">
        <v>218</v>
      </c>
      <c r="CD54" s="644" t="s">
        <v>364</v>
      </c>
      <c r="CE54" s="645">
        <v>582985.38</v>
      </c>
      <c r="CF54" s="646">
        <v>442400</v>
      </c>
      <c r="CG54" s="646">
        <v>0</v>
      </c>
      <c r="CH54" s="646">
        <v>442400</v>
      </c>
    </row>
    <row r="55" spans="3:86" ht="18" customHeight="1">
      <c r="C55" s="484"/>
      <c r="D55" s="806"/>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07"/>
      <c r="AP55" s="807"/>
      <c r="AQ55" s="807"/>
      <c r="AR55" s="807"/>
      <c r="AS55" s="807"/>
      <c r="AT55" s="807"/>
      <c r="AU55" s="807"/>
      <c r="AV55" s="807"/>
      <c r="AW55" s="807"/>
      <c r="AX55" s="807"/>
      <c r="AY55" s="807"/>
      <c r="AZ55" s="808"/>
      <c r="CC55" s="644">
        <v>818</v>
      </c>
      <c r="CD55" s="644" t="s">
        <v>365</v>
      </c>
      <c r="CE55" s="645">
        <v>18126.245000000003</v>
      </c>
      <c r="CF55" s="646">
        <v>1000</v>
      </c>
      <c r="CG55" s="646">
        <v>84000</v>
      </c>
      <c r="CH55" s="646">
        <v>57500</v>
      </c>
    </row>
    <row r="56" spans="3:86" ht="18" customHeight="1">
      <c r="C56" s="484"/>
      <c r="D56" s="806"/>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7"/>
      <c r="AY56" s="807"/>
      <c r="AZ56" s="808"/>
      <c r="CC56" s="644">
        <v>222</v>
      </c>
      <c r="CD56" s="644" t="s">
        <v>366</v>
      </c>
      <c r="CE56" s="645">
        <v>37535.36</v>
      </c>
      <c r="CF56" s="646">
        <v>15630</v>
      </c>
      <c r="CG56" s="646">
        <v>10640</v>
      </c>
      <c r="CH56" s="646">
        <v>26270</v>
      </c>
    </row>
    <row r="57" spans="3:86" ht="20.25" customHeight="1">
      <c r="C57" s="485"/>
      <c r="D57" s="811"/>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3"/>
      <c r="CC57" s="644">
        <v>226</v>
      </c>
      <c r="CD57" s="644" t="s">
        <v>367</v>
      </c>
      <c r="CE57" s="645">
        <v>60475.8</v>
      </c>
      <c r="CF57" s="646">
        <v>26000</v>
      </c>
      <c r="CG57" s="646">
        <v>0</v>
      </c>
      <c r="CH57" s="646">
        <v>26000</v>
      </c>
    </row>
    <row r="58" spans="3:86" ht="16.5" customHeight="1">
      <c r="C58" s="809"/>
      <c r="D58" s="810"/>
      <c r="E58" s="810"/>
      <c r="F58" s="810"/>
      <c r="G58" s="810"/>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281"/>
      <c r="AQ58" s="281"/>
      <c r="AR58" s="281"/>
      <c r="AS58" s="281"/>
      <c r="CC58" s="644">
        <v>232</v>
      </c>
      <c r="CD58" s="644" t="s">
        <v>368</v>
      </c>
      <c r="CE58" s="645">
        <v>46758.073728</v>
      </c>
      <c r="CF58" s="646">
        <v>2800</v>
      </c>
      <c r="CG58" s="646">
        <v>700</v>
      </c>
      <c r="CH58" s="646">
        <v>7315</v>
      </c>
    </row>
    <row r="59" spans="3:86" ht="13.5">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281"/>
      <c r="AQ59" s="281"/>
      <c r="AR59" s="281"/>
      <c r="AS59" s="281"/>
      <c r="CC59" s="644">
        <v>231</v>
      </c>
      <c r="CD59" s="644" t="s">
        <v>369</v>
      </c>
      <c r="CE59" s="645">
        <v>963533.637456</v>
      </c>
      <c r="CF59" s="646">
        <v>122000</v>
      </c>
      <c r="CG59" s="646">
        <v>0</v>
      </c>
      <c r="CH59" s="646">
        <v>122000</v>
      </c>
    </row>
    <row r="60" spans="81:86" ht="13.5">
      <c r="CC60" s="644">
        <v>234</v>
      </c>
      <c r="CD60" s="644" t="s">
        <v>504</v>
      </c>
      <c r="CE60" s="645">
        <v>0</v>
      </c>
      <c r="CF60" s="646">
        <v>0</v>
      </c>
      <c r="CG60" s="646">
        <v>0</v>
      </c>
      <c r="CH60" s="646">
        <v>0</v>
      </c>
    </row>
    <row r="61" spans="81:86" ht="13.5">
      <c r="CC61" s="644">
        <v>242</v>
      </c>
      <c r="CD61" s="644" t="s">
        <v>370</v>
      </c>
      <c r="CE61" s="645">
        <v>47355.840000000004</v>
      </c>
      <c r="CF61" s="646">
        <v>28550</v>
      </c>
      <c r="CG61" s="646">
        <v>0</v>
      </c>
      <c r="CH61" s="646">
        <v>28550</v>
      </c>
    </row>
    <row r="62" spans="81:86" ht="13.5">
      <c r="CC62" s="644">
        <v>254</v>
      </c>
      <c r="CD62" s="644" t="s">
        <v>371</v>
      </c>
      <c r="CE62" s="645">
        <v>0</v>
      </c>
      <c r="CF62" s="646">
        <v>0</v>
      </c>
      <c r="CG62" s="646">
        <v>0</v>
      </c>
      <c r="CH62" s="646">
        <v>0</v>
      </c>
    </row>
    <row r="63" spans="81:86" ht="13.5">
      <c r="CC63" s="644">
        <v>266</v>
      </c>
      <c r="CD63" s="644" t="s">
        <v>372</v>
      </c>
      <c r="CE63" s="645">
        <v>490103.77</v>
      </c>
      <c r="CF63" s="646">
        <v>164000</v>
      </c>
      <c r="CG63" s="646">
        <v>2000</v>
      </c>
      <c r="CH63" s="646">
        <v>166000</v>
      </c>
    </row>
    <row r="64" spans="81:86" ht="13.5">
      <c r="CC64" s="644">
        <v>270</v>
      </c>
      <c r="CD64" s="644" t="s">
        <v>373</v>
      </c>
      <c r="CE64" s="645">
        <v>9446.8</v>
      </c>
      <c r="CF64" s="646">
        <v>3000</v>
      </c>
      <c r="CG64" s="646">
        <v>5000</v>
      </c>
      <c r="CH64" s="646">
        <v>8000</v>
      </c>
    </row>
    <row r="65" spans="81:86" ht="13.5">
      <c r="CC65" s="644">
        <v>268</v>
      </c>
      <c r="CD65" s="644" t="s">
        <v>374</v>
      </c>
      <c r="CE65" s="645">
        <v>71512.20000000001</v>
      </c>
      <c r="CF65" s="646">
        <v>58130</v>
      </c>
      <c r="CG65" s="646">
        <v>8350</v>
      </c>
      <c r="CH65" s="646">
        <v>63330</v>
      </c>
    </row>
    <row r="66" spans="81:86" ht="13.5">
      <c r="CC66" s="644">
        <v>288</v>
      </c>
      <c r="CD66" s="644" t="s">
        <v>375</v>
      </c>
      <c r="CE66" s="645">
        <v>283146.98</v>
      </c>
      <c r="CF66" s="646">
        <v>30300</v>
      </c>
      <c r="CG66" s="646">
        <v>25900</v>
      </c>
      <c r="CH66" s="646">
        <v>56200</v>
      </c>
    </row>
    <row r="67" spans="81:86" ht="13.5">
      <c r="CC67" s="644">
        <v>304</v>
      </c>
      <c r="CD67" s="644" t="s">
        <v>376</v>
      </c>
      <c r="CE67" s="645"/>
      <c r="CF67" s="646"/>
      <c r="CG67" s="646"/>
      <c r="CH67" s="646"/>
    </row>
    <row r="68" spans="81:86" ht="13.5">
      <c r="CC68" s="644">
        <v>308</v>
      </c>
      <c r="CD68" s="644" t="s">
        <v>377</v>
      </c>
      <c r="CE68" s="645">
        <v>799</v>
      </c>
      <c r="CF68" s="646">
        <v>200</v>
      </c>
      <c r="CG68" s="646">
        <v>0</v>
      </c>
      <c r="CH68" s="646">
        <v>200</v>
      </c>
    </row>
    <row r="69" spans="81:86" ht="13.5">
      <c r="CC69" s="644">
        <v>312</v>
      </c>
      <c r="CD69" s="644" t="s">
        <v>378</v>
      </c>
      <c r="CE69" s="645">
        <v>0</v>
      </c>
      <c r="CF69" s="646">
        <v>0</v>
      </c>
      <c r="CG69" s="646">
        <v>0</v>
      </c>
      <c r="CH69" s="646">
        <v>0</v>
      </c>
    </row>
    <row r="70" spans="81:86" ht="13.5">
      <c r="CC70" s="644">
        <v>320</v>
      </c>
      <c r="CD70" s="644" t="s">
        <v>379</v>
      </c>
      <c r="CE70" s="645">
        <v>217344.44</v>
      </c>
      <c r="CF70" s="646">
        <v>109200</v>
      </c>
      <c r="CG70" s="646">
        <v>18710</v>
      </c>
      <c r="CH70" s="646">
        <v>127910</v>
      </c>
    </row>
    <row r="71" spans="81:86" ht="13.5">
      <c r="CC71" s="644">
        <v>324</v>
      </c>
      <c r="CD71" s="644" t="s">
        <v>380</v>
      </c>
      <c r="CE71" s="645">
        <v>405914.86</v>
      </c>
      <c r="CF71" s="646">
        <v>226000</v>
      </c>
      <c r="CG71" s="646">
        <v>0</v>
      </c>
      <c r="CH71" s="646">
        <v>226000</v>
      </c>
    </row>
    <row r="72" spans="81:86" ht="13.5">
      <c r="CC72" s="644">
        <v>624</v>
      </c>
      <c r="CD72" s="644" t="s">
        <v>381</v>
      </c>
      <c r="CE72" s="645">
        <v>56977.01</v>
      </c>
      <c r="CF72" s="646">
        <v>16000</v>
      </c>
      <c r="CG72" s="646">
        <v>15400</v>
      </c>
      <c r="CH72" s="646">
        <v>31400</v>
      </c>
    </row>
    <row r="73" spans="81:86" ht="13.5">
      <c r="CC73" s="644">
        <v>328</v>
      </c>
      <c r="CD73" s="644" t="s">
        <v>386</v>
      </c>
      <c r="CE73" s="645">
        <v>513133.38999999996</v>
      </c>
      <c r="CF73" s="646">
        <v>241000</v>
      </c>
      <c r="CG73" s="646">
        <v>30000</v>
      </c>
      <c r="CH73" s="646">
        <v>271000</v>
      </c>
    </row>
    <row r="74" spans="81:86" ht="13.5">
      <c r="CC74" s="644">
        <v>332</v>
      </c>
      <c r="CD74" s="644" t="s">
        <v>387</v>
      </c>
      <c r="CE74" s="645">
        <v>39960</v>
      </c>
      <c r="CF74" s="646">
        <v>13007</v>
      </c>
      <c r="CG74" s="646">
        <v>1014.9999999999999</v>
      </c>
      <c r="CH74" s="646">
        <v>14022</v>
      </c>
    </row>
    <row r="75" spans="81:86" ht="13.5">
      <c r="CC75" s="644">
        <v>336</v>
      </c>
      <c r="CD75" s="644" t="s">
        <v>505</v>
      </c>
      <c r="CE75" s="645">
        <v>0</v>
      </c>
      <c r="CF75" s="646">
        <v>0</v>
      </c>
      <c r="CG75" s="646">
        <v>0</v>
      </c>
      <c r="CH75" s="646">
        <v>0</v>
      </c>
    </row>
    <row r="76" spans="81:86" ht="13.5">
      <c r="CC76" s="644">
        <v>340</v>
      </c>
      <c r="CD76" s="644" t="s">
        <v>388</v>
      </c>
      <c r="CE76" s="645">
        <v>222280.24</v>
      </c>
      <c r="CF76" s="646">
        <v>90660</v>
      </c>
      <c r="CG76" s="646">
        <v>1504</v>
      </c>
      <c r="CH76" s="646">
        <v>92164</v>
      </c>
    </row>
    <row r="77" spans="81:86" ht="13.5">
      <c r="CC77" s="644">
        <v>356</v>
      </c>
      <c r="CD77" s="644" t="s">
        <v>389</v>
      </c>
      <c r="CE77" s="645">
        <v>3560102.58</v>
      </c>
      <c r="CF77" s="646">
        <v>1446000</v>
      </c>
      <c r="CG77" s="646">
        <v>635200</v>
      </c>
      <c r="CH77" s="646">
        <v>1910900</v>
      </c>
    </row>
    <row r="78" spans="81:86" ht="13.5">
      <c r="CC78" s="644">
        <v>360</v>
      </c>
      <c r="CD78" s="644" t="s">
        <v>390</v>
      </c>
      <c r="CE78" s="645">
        <v>5179361.6644</v>
      </c>
      <c r="CF78" s="646">
        <v>2018700</v>
      </c>
      <c r="CG78" s="646">
        <v>0</v>
      </c>
      <c r="CH78" s="646">
        <v>2018700</v>
      </c>
    </row>
    <row r="79" spans="81:86" ht="13.5">
      <c r="CC79" s="644">
        <v>364</v>
      </c>
      <c r="CD79" s="644" t="s">
        <v>391</v>
      </c>
      <c r="CE79" s="645">
        <v>397894.2</v>
      </c>
      <c r="CF79" s="646">
        <v>128500</v>
      </c>
      <c r="CG79" s="646">
        <v>7770</v>
      </c>
      <c r="CH79" s="646">
        <v>137045</v>
      </c>
    </row>
    <row r="80" spans="81:86" ht="13.5">
      <c r="CC80" s="644">
        <v>368</v>
      </c>
      <c r="CD80" s="644" t="s">
        <v>392</v>
      </c>
      <c r="CE80" s="645">
        <v>93971.232</v>
      </c>
      <c r="CF80" s="646">
        <v>35200</v>
      </c>
      <c r="CG80" s="646">
        <v>61330</v>
      </c>
      <c r="CH80" s="646">
        <v>89860</v>
      </c>
    </row>
    <row r="81" spans="81:86" ht="13.5">
      <c r="CC81" s="644">
        <v>376</v>
      </c>
      <c r="CD81" s="644" t="s">
        <v>393</v>
      </c>
      <c r="CE81" s="645">
        <v>78573.04000000001</v>
      </c>
      <c r="CF81" s="646">
        <v>49000</v>
      </c>
      <c r="CG81" s="646">
        <v>3000</v>
      </c>
      <c r="CH81" s="646">
        <v>52000</v>
      </c>
    </row>
    <row r="82" spans="81:86" ht="13.5">
      <c r="CC82" s="644">
        <v>388</v>
      </c>
      <c r="CD82" s="644" t="s">
        <v>394</v>
      </c>
      <c r="CE82" s="645">
        <v>22540.489999999998</v>
      </c>
      <c r="CF82" s="646">
        <v>10823</v>
      </c>
      <c r="CG82" s="646">
        <v>0</v>
      </c>
      <c r="CH82" s="646">
        <v>10823</v>
      </c>
    </row>
    <row r="83" spans="81:86" ht="13.5">
      <c r="CC83" s="644">
        <v>400</v>
      </c>
      <c r="CD83" s="644" t="s">
        <v>395</v>
      </c>
      <c r="CE83" s="645">
        <v>9914.52</v>
      </c>
      <c r="CF83" s="646">
        <v>682</v>
      </c>
      <c r="CG83" s="646">
        <v>400</v>
      </c>
      <c r="CH83" s="646">
        <v>937</v>
      </c>
    </row>
    <row r="84" spans="81:86" ht="13.5">
      <c r="CC84" s="644">
        <v>398</v>
      </c>
      <c r="CD84" s="644" t="s">
        <v>396</v>
      </c>
      <c r="CE84" s="645">
        <v>681225.5</v>
      </c>
      <c r="CF84" s="646">
        <v>64349.99999999999</v>
      </c>
      <c r="CG84" s="646">
        <v>72040</v>
      </c>
      <c r="CH84" s="646">
        <v>108410</v>
      </c>
    </row>
    <row r="85" spans="81:86" ht="13.5">
      <c r="CC85" s="644">
        <v>404</v>
      </c>
      <c r="CD85" s="644" t="s">
        <v>397</v>
      </c>
      <c r="CE85" s="645">
        <v>365633.10000000003</v>
      </c>
      <c r="CF85" s="646">
        <v>20700</v>
      </c>
      <c r="CG85" s="646">
        <v>10000</v>
      </c>
      <c r="CH85" s="646">
        <v>30700</v>
      </c>
    </row>
    <row r="86" spans="81:86" ht="13.5">
      <c r="CC86" s="644">
        <v>296</v>
      </c>
      <c r="CD86" s="644" t="s">
        <v>151</v>
      </c>
      <c r="CE86" s="645">
        <v>0</v>
      </c>
      <c r="CF86" s="646">
        <v>0</v>
      </c>
      <c r="CG86" s="646">
        <v>0</v>
      </c>
      <c r="CH86" s="646">
        <v>0</v>
      </c>
    </row>
    <row r="87" spans="81:86" ht="13.5">
      <c r="CC87" s="644">
        <v>414</v>
      </c>
      <c r="CD87" s="644" t="s">
        <v>398</v>
      </c>
      <c r="CE87" s="645">
        <v>2156.22</v>
      </c>
      <c r="CF87" s="646">
        <v>0</v>
      </c>
      <c r="CG87" s="646">
        <v>0</v>
      </c>
      <c r="CH87" s="646">
        <v>20</v>
      </c>
    </row>
    <row r="88" spans="81:86" ht="13.5">
      <c r="CC88" s="644">
        <v>417</v>
      </c>
      <c r="CD88" s="644" t="s">
        <v>399</v>
      </c>
      <c r="CE88" s="645">
        <v>106572.817</v>
      </c>
      <c r="CF88" s="646">
        <v>48930</v>
      </c>
      <c r="CG88" s="646">
        <v>558</v>
      </c>
      <c r="CH88" s="646">
        <v>23618</v>
      </c>
    </row>
    <row r="89" spans="81:86" ht="13.5">
      <c r="CC89" s="644">
        <v>418</v>
      </c>
      <c r="CD89" s="644" t="s">
        <v>152</v>
      </c>
      <c r="CE89" s="645">
        <v>434291.2</v>
      </c>
      <c r="CF89" s="646">
        <v>190400</v>
      </c>
      <c r="CG89" s="646">
        <v>143100</v>
      </c>
      <c r="CH89" s="646">
        <v>333500</v>
      </c>
    </row>
    <row r="90" spans="81:86" ht="13.5">
      <c r="CC90" s="644">
        <v>428</v>
      </c>
      <c r="CD90" s="644" t="s">
        <v>400</v>
      </c>
      <c r="CE90" s="645">
        <v>43084.198000000004</v>
      </c>
      <c r="CF90" s="646">
        <v>16940</v>
      </c>
      <c r="CG90" s="646">
        <v>18000</v>
      </c>
      <c r="CH90" s="646">
        <v>34940</v>
      </c>
    </row>
    <row r="91" spans="81:86" ht="13.5">
      <c r="CC91" s="644">
        <v>422</v>
      </c>
      <c r="CD91" s="644" t="s">
        <v>401</v>
      </c>
      <c r="CE91" s="645">
        <v>6907.45</v>
      </c>
      <c r="CF91" s="646">
        <v>4800</v>
      </c>
      <c r="CG91" s="646">
        <v>0</v>
      </c>
      <c r="CH91" s="646">
        <v>4503</v>
      </c>
    </row>
    <row r="92" spans="81:86" ht="13.5">
      <c r="CC92" s="644">
        <v>426</v>
      </c>
      <c r="CD92" s="644" t="s">
        <v>402</v>
      </c>
      <c r="CE92" s="645">
        <v>23923.68</v>
      </c>
      <c r="CF92" s="646">
        <v>5230</v>
      </c>
      <c r="CG92" s="646">
        <v>0</v>
      </c>
      <c r="CH92" s="646">
        <v>3022</v>
      </c>
    </row>
    <row r="93" spans="81:86" ht="13.5">
      <c r="CC93" s="644">
        <v>430</v>
      </c>
      <c r="CD93" s="644" t="s">
        <v>403</v>
      </c>
      <c r="CE93" s="645">
        <v>266285.67</v>
      </c>
      <c r="CF93" s="646">
        <v>200000</v>
      </c>
      <c r="CG93" s="646">
        <v>32000</v>
      </c>
      <c r="CH93" s="646">
        <v>232000</v>
      </c>
    </row>
    <row r="94" spans="81:86" ht="13.5">
      <c r="CC94" s="644">
        <v>434</v>
      </c>
      <c r="CD94" s="644" t="s">
        <v>153</v>
      </c>
      <c r="CE94" s="645">
        <v>98534.23999999999</v>
      </c>
      <c r="CF94" s="646">
        <v>700</v>
      </c>
      <c r="CG94" s="646">
        <v>0</v>
      </c>
      <c r="CH94" s="646">
        <v>700</v>
      </c>
    </row>
    <row r="95" spans="81:86" ht="13.5">
      <c r="CC95" s="644">
        <v>438</v>
      </c>
      <c r="CD95" s="644" t="s">
        <v>154</v>
      </c>
      <c r="CE95" s="645">
        <v>0</v>
      </c>
      <c r="CF95" s="646">
        <v>0</v>
      </c>
      <c r="CG95" s="646">
        <v>0</v>
      </c>
      <c r="CH95" s="646">
        <v>0</v>
      </c>
    </row>
    <row r="96" spans="81:86" ht="13.5">
      <c r="CC96" s="644">
        <v>440</v>
      </c>
      <c r="CD96" s="644" t="s">
        <v>404</v>
      </c>
      <c r="CE96" s="645">
        <v>42830.240000000005</v>
      </c>
      <c r="CF96" s="646">
        <v>15460</v>
      </c>
      <c r="CG96" s="646">
        <v>9040</v>
      </c>
      <c r="CH96" s="646">
        <v>24500</v>
      </c>
    </row>
    <row r="97" spans="81:86" ht="13.5">
      <c r="CC97" s="644">
        <v>450</v>
      </c>
      <c r="CD97" s="644" t="s">
        <v>405</v>
      </c>
      <c r="CE97" s="645">
        <v>888577.335</v>
      </c>
      <c r="CF97" s="646">
        <v>337000</v>
      </c>
      <c r="CG97" s="646">
        <v>0</v>
      </c>
      <c r="CH97" s="646">
        <v>337000</v>
      </c>
    </row>
    <row r="98" spans="81:86" ht="13.5">
      <c r="CC98" s="644">
        <v>454</v>
      </c>
      <c r="CD98" s="644" t="s">
        <v>406</v>
      </c>
      <c r="CE98" s="645">
        <v>139924.88</v>
      </c>
      <c r="CF98" s="646">
        <v>16140</v>
      </c>
      <c r="CG98" s="646">
        <v>1000</v>
      </c>
      <c r="CH98" s="646">
        <v>17280</v>
      </c>
    </row>
    <row r="99" spans="81:86" ht="13.5">
      <c r="CC99" s="644">
        <v>458</v>
      </c>
      <c r="CD99" s="644" t="s">
        <v>407</v>
      </c>
      <c r="CE99" s="645">
        <v>951050</v>
      </c>
      <c r="CF99" s="646">
        <v>580000</v>
      </c>
      <c r="CG99" s="646">
        <v>0</v>
      </c>
      <c r="CH99" s="646">
        <v>580000</v>
      </c>
    </row>
    <row r="100" spans="81:86" ht="13.5">
      <c r="CC100" s="644">
        <v>462</v>
      </c>
      <c r="CD100" s="644" t="s">
        <v>408</v>
      </c>
      <c r="CE100" s="645">
        <v>591.6</v>
      </c>
      <c r="CF100" s="646">
        <v>30</v>
      </c>
      <c r="CG100" s="646">
        <v>0</v>
      </c>
      <c r="CH100" s="646">
        <v>30</v>
      </c>
    </row>
    <row r="101" spans="81:86" ht="13.5">
      <c r="CC101" s="644">
        <v>466</v>
      </c>
      <c r="CD101" s="644" t="s">
        <v>409</v>
      </c>
      <c r="CE101" s="645">
        <v>349733.58</v>
      </c>
      <c r="CF101" s="646">
        <v>60000</v>
      </c>
      <c r="CG101" s="646">
        <v>60000</v>
      </c>
      <c r="CH101" s="646">
        <v>120000</v>
      </c>
    </row>
    <row r="102" spans="81:86" ht="13.5">
      <c r="CC102" s="644">
        <v>470</v>
      </c>
      <c r="CD102" s="644" t="s">
        <v>410</v>
      </c>
      <c r="CE102" s="645">
        <v>179.2</v>
      </c>
      <c r="CF102" s="646">
        <v>50.5</v>
      </c>
      <c r="CG102" s="646">
        <v>0</v>
      </c>
      <c r="CH102" s="646">
        <v>50.5</v>
      </c>
    </row>
    <row r="103" spans="81:86" ht="13.5">
      <c r="CC103" s="644">
        <v>584</v>
      </c>
      <c r="CD103" s="644" t="s">
        <v>155</v>
      </c>
      <c r="CE103" s="645">
        <v>0</v>
      </c>
      <c r="CF103" s="646">
        <v>0</v>
      </c>
      <c r="CG103" s="646">
        <v>0</v>
      </c>
      <c r="CH103" s="646">
        <v>0</v>
      </c>
    </row>
    <row r="104" spans="81:86" ht="13.5">
      <c r="CC104" s="644">
        <v>474</v>
      </c>
      <c r="CD104" s="644" t="s">
        <v>411</v>
      </c>
      <c r="CE104" s="645">
        <v>0</v>
      </c>
      <c r="CF104" s="646">
        <v>0</v>
      </c>
      <c r="CG104" s="646">
        <v>0</v>
      </c>
      <c r="CH104" s="646">
        <v>0</v>
      </c>
    </row>
    <row r="105" spans="81:86" ht="13.5">
      <c r="CC105" s="644">
        <v>478</v>
      </c>
      <c r="CD105" s="644" t="s">
        <v>412</v>
      </c>
      <c r="CE105" s="645">
        <v>94824.4</v>
      </c>
      <c r="CF105" s="646">
        <v>400</v>
      </c>
      <c r="CG105" s="646">
        <v>0</v>
      </c>
      <c r="CH105" s="646">
        <v>11400</v>
      </c>
    </row>
    <row r="106" spans="81:86" ht="13.5">
      <c r="CC106" s="644">
        <v>480</v>
      </c>
      <c r="CD106" s="644" t="s">
        <v>413</v>
      </c>
      <c r="CE106" s="645">
        <v>4163.64</v>
      </c>
      <c r="CF106" s="646">
        <v>2751</v>
      </c>
      <c r="CG106" s="646">
        <v>0</v>
      </c>
      <c r="CH106" s="646">
        <v>2751</v>
      </c>
    </row>
    <row r="107" spans="81:86" ht="13.5">
      <c r="CC107" s="644">
        <v>583</v>
      </c>
      <c r="CD107" s="644" t="s">
        <v>156</v>
      </c>
      <c r="CE107" s="645">
        <v>0</v>
      </c>
      <c r="CF107" s="646">
        <v>0</v>
      </c>
      <c r="CG107" s="646">
        <v>0</v>
      </c>
      <c r="CH107" s="646">
        <v>0</v>
      </c>
    </row>
    <row r="108" spans="81:86" ht="13.5">
      <c r="CC108" s="644">
        <v>492</v>
      </c>
      <c r="CD108" s="644" t="s">
        <v>157</v>
      </c>
      <c r="CE108" s="645">
        <v>0</v>
      </c>
      <c r="CF108" s="646">
        <v>0</v>
      </c>
      <c r="CG108" s="646">
        <v>0</v>
      </c>
      <c r="CH108" s="646">
        <v>0</v>
      </c>
    </row>
    <row r="109" spans="81:86" ht="13.5">
      <c r="CC109" s="644">
        <v>496</v>
      </c>
      <c r="CD109" s="644" t="s">
        <v>414</v>
      </c>
      <c r="CE109" s="645">
        <v>376951.956</v>
      </c>
      <c r="CF109" s="646">
        <v>34800</v>
      </c>
      <c r="CG109" s="646">
        <v>0</v>
      </c>
      <c r="CH109" s="646">
        <v>34800</v>
      </c>
    </row>
    <row r="110" spans="81:86" ht="13.5">
      <c r="CC110" s="644">
        <v>499</v>
      </c>
      <c r="CD110" s="644" t="s">
        <v>158</v>
      </c>
      <c r="CE110" s="645">
        <v>0</v>
      </c>
      <c r="CF110" s="646">
        <v>0</v>
      </c>
      <c r="CG110" s="646">
        <v>0</v>
      </c>
      <c r="CH110" s="646">
        <v>0</v>
      </c>
    </row>
    <row r="111" spans="81:86" ht="13.5">
      <c r="CC111" s="644">
        <v>504</v>
      </c>
      <c r="CD111" s="644" t="s">
        <v>415</v>
      </c>
      <c r="CE111" s="645">
        <v>154506.30000000002</v>
      </c>
      <c r="CF111" s="646">
        <v>29000</v>
      </c>
      <c r="CG111" s="646">
        <v>0</v>
      </c>
      <c r="CH111" s="646">
        <v>29000</v>
      </c>
    </row>
    <row r="112" spans="81:86" ht="13.5">
      <c r="CC112" s="644">
        <v>508</v>
      </c>
      <c r="CD112" s="644" t="s">
        <v>416</v>
      </c>
      <c r="CE112" s="645">
        <v>824960.1599999999</v>
      </c>
      <c r="CF112" s="646">
        <v>100300</v>
      </c>
      <c r="CG112" s="646">
        <v>116800</v>
      </c>
      <c r="CH112" s="646">
        <v>217100</v>
      </c>
    </row>
    <row r="113" spans="81:86" ht="13.5">
      <c r="CC113" s="644">
        <v>104</v>
      </c>
      <c r="CD113" s="644" t="s">
        <v>417</v>
      </c>
      <c r="CE113" s="645">
        <v>1414854.24</v>
      </c>
      <c r="CF113" s="646">
        <v>1002800</v>
      </c>
      <c r="CG113" s="646">
        <v>128199.99999999999</v>
      </c>
      <c r="CH113" s="646">
        <v>1167800</v>
      </c>
    </row>
    <row r="114" spans="81:86" ht="13.5">
      <c r="CC114" s="644">
        <v>516</v>
      </c>
      <c r="CD114" s="644" t="s">
        <v>418</v>
      </c>
      <c r="CE114" s="645">
        <v>234922.65</v>
      </c>
      <c r="CF114" s="646">
        <v>6160</v>
      </c>
      <c r="CG114" s="646">
        <v>11000</v>
      </c>
      <c r="CH114" s="646">
        <v>39910</v>
      </c>
    </row>
    <row r="115" spans="81:86" ht="13.5">
      <c r="CC115" s="644">
        <v>520</v>
      </c>
      <c r="CD115" s="644" t="s">
        <v>159</v>
      </c>
      <c r="CE115" s="645">
        <v>0</v>
      </c>
      <c r="CF115" s="646">
        <v>10</v>
      </c>
      <c r="CG115" s="646">
        <v>0</v>
      </c>
      <c r="CH115" s="646">
        <v>10</v>
      </c>
    </row>
    <row r="116" spans="81:86" ht="13.5">
      <c r="CC116" s="644">
        <v>524</v>
      </c>
      <c r="CD116" s="644" t="s">
        <v>419</v>
      </c>
      <c r="CE116" s="645">
        <v>220770</v>
      </c>
      <c r="CF116" s="646">
        <v>198200</v>
      </c>
      <c r="CG116" s="646">
        <v>12000</v>
      </c>
      <c r="CH116" s="646">
        <v>210200</v>
      </c>
    </row>
    <row r="117" spans="81:86" ht="13.5">
      <c r="CC117" s="644">
        <v>540</v>
      </c>
      <c r="CD117" s="644" t="s">
        <v>420</v>
      </c>
      <c r="CE117" s="645">
        <v>0</v>
      </c>
      <c r="CF117" s="646">
        <v>0</v>
      </c>
      <c r="CG117" s="646">
        <v>0</v>
      </c>
      <c r="CH117" s="646">
        <v>0</v>
      </c>
    </row>
    <row r="118" spans="81:86" ht="13.5">
      <c r="CC118" s="644">
        <v>558</v>
      </c>
      <c r="CD118" s="644" t="s">
        <v>421</v>
      </c>
      <c r="CE118" s="645">
        <v>297243.60000000003</v>
      </c>
      <c r="CF118" s="646">
        <v>156210</v>
      </c>
      <c r="CG118" s="646">
        <v>8310</v>
      </c>
      <c r="CH118" s="646">
        <v>164520</v>
      </c>
    </row>
    <row r="119" spans="81:86" ht="13.5">
      <c r="CC119" s="644">
        <v>562</v>
      </c>
      <c r="CD119" s="644" t="s">
        <v>422</v>
      </c>
      <c r="CE119" s="645">
        <v>191317</v>
      </c>
      <c r="CF119" s="646">
        <v>3500</v>
      </c>
      <c r="CG119" s="646">
        <v>29200</v>
      </c>
      <c r="CH119" s="646">
        <v>34050</v>
      </c>
    </row>
    <row r="120" spans="81:86" ht="13.5">
      <c r="CC120" s="644">
        <v>566</v>
      </c>
      <c r="CD120" s="644" t="s">
        <v>423</v>
      </c>
      <c r="CE120" s="645">
        <v>1062335.5</v>
      </c>
      <c r="CF120" s="646">
        <v>221000</v>
      </c>
      <c r="CG120" s="646">
        <v>65200</v>
      </c>
      <c r="CH120" s="646">
        <v>286200</v>
      </c>
    </row>
    <row r="121" spans="81:86" ht="13.5">
      <c r="CC121" s="644">
        <v>570</v>
      </c>
      <c r="CD121" s="644" t="s">
        <v>506</v>
      </c>
      <c r="CE121" s="645">
        <v>0</v>
      </c>
      <c r="CF121" s="646">
        <v>0</v>
      </c>
      <c r="CG121" s="646">
        <v>0</v>
      </c>
      <c r="CH121" s="646">
        <v>0</v>
      </c>
    </row>
    <row r="122" spans="81:86" ht="13.5">
      <c r="CC122" s="644">
        <v>275</v>
      </c>
      <c r="CD122" s="644" t="s">
        <v>507</v>
      </c>
      <c r="CE122" s="645">
        <v>2420.04</v>
      </c>
      <c r="CF122" s="646">
        <v>812</v>
      </c>
      <c r="CG122" s="646">
        <v>15</v>
      </c>
      <c r="CH122" s="646">
        <v>837</v>
      </c>
    </row>
    <row r="123" spans="81:86" ht="13.5">
      <c r="CC123" s="644">
        <v>512</v>
      </c>
      <c r="CD123" s="644" t="s">
        <v>424</v>
      </c>
      <c r="CE123" s="645">
        <v>38687.5</v>
      </c>
      <c r="CF123" s="646">
        <v>1400</v>
      </c>
      <c r="CG123" s="646">
        <v>0</v>
      </c>
      <c r="CH123" s="646">
        <v>1400</v>
      </c>
    </row>
    <row r="124" spans="81:86" ht="13.5">
      <c r="CC124" s="644">
        <v>586</v>
      </c>
      <c r="CD124" s="644" t="s">
        <v>425</v>
      </c>
      <c r="CE124" s="645">
        <v>393273.39999999997</v>
      </c>
      <c r="CF124" s="646">
        <v>55000</v>
      </c>
      <c r="CG124" s="646">
        <v>265100</v>
      </c>
      <c r="CH124" s="646">
        <v>246800</v>
      </c>
    </row>
    <row r="125" spans="81:86" ht="13.5">
      <c r="CC125" s="644">
        <v>585</v>
      </c>
      <c r="CD125" s="644" t="s">
        <v>160</v>
      </c>
      <c r="CE125" s="645">
        <v>0</v>
      </c>
      <c r="CF125" s="646">
        <v>0</v>
      </c>
      <c r="CG125" s="646">
        <v>0</v>
      </c>
      <c r="CH125" s="646">
        <v>0</v>
      </c>
    </row>
    <row r="126" spans="81:86" ht="13.5">
      <c r="CC126" s="644">
        <v>591</v>
      </c>
      <c r="CD126" s="644" t="s">
        <v>426</v>
      </c>
      <c r="CE126" s="645">
        <v>220536.96</v>
      </c>
      <c r="CF126" s="646">
        <v>136600</v>
      </c>
      <c r="CG126" s="646">
        <v>0</v>
      </c>
      <c r="CH126" s="646">
        <v>139304</v>
      </c>
    </row>
    <row r="127" spans="81:86" ht="13.5">
      <c r="CC127" s="644">
        <v>598</v>
      </c>
      <c r="CD127" s="644" t="s">
        <v>427</v>
      </c>
      <c r="CE127" s="645">
        <v>1454243.28</v>
      </c>
      <c r="CF127" s="646">
        <v>801000</v>
      </c>
      <c r="CG127" s="646">
        <v>0</v>
      </c>
      <c r="CH127" s="646">
        <v>801000</v>
      </c>
    </row>
    <row r="128" spans="81:86" ht="13.5">
      <c r="CC128" s="644">
        <v>600</v>
      </c>
      <c r="CD128" s="644" t="s">
        <v>428</v>
      </c>
      <c r="CE128" s="645">
        <v>459629.75999999995</v>
      </c>
      <c r="CF128" s="646">
        <v>117000</v>
      </c>
      <c r="CG128" s="646">
        <v>73270</v>
      </c>
      <c r="CH128" s="646">
        <v>387770</v>
      </c>
    </row>
    <row r="129" spans="81:86" ht="13.5">
      <c r="CC129" s="644">
        <v>604</v>
      </c>
      <c r="CD129" s="644" t="s">
        <v>429</v>
      </c>
      <c r="CE129" s="645">
        <v>2233712.36</v>
      </c>
      <c r="CF129" s="646">
        <v>1641000</v>
      </c>
      <c r="CG129" s="646">
        <v>128800.00000000001</v>
      </c>
      <c r="CH129" s="646">
        <v>1879800</v>
      </c>
    </row>
    <row r="130" spans="81:86" ht="13.5">
      <c r="CC130" s="644">
        <v>608</v>
      </c>
      <c r="CD130" s="644" t="s">
        <v>430</v>
      </c>
      <c r="CE130" s="645">
        <v>704400</v>
      </c>
      <c r="CF130" s="646">
        <v>479000</v>
      </c>
      <c r="CG130" s="646">
        <v>0</v>
      </c>
      <c r="CH130" s="646">
        <v>479000</v>
      </c>
    </row>
    <row r="131" spans="81:86" ht="13.5">
      <c r="CC131" s="644">
        <v>630</v>
      </c>
      <c r="CD131" s="644" t="s">
        <v>431</v>
      </c>
      <c r="CE131" s="645">
        <v>18218.98</v>
      </c>
      <c r="CF131" s="646">
        <v>7100</v>
      </c>
      <c r="CG131" s="646">
        <v>0</v>
      </c>
      <c r="CH131" s="646">
        <v>7100</v>
      </c>
    </row>
    <row r="132" spans="81:86" ht="13.5">
      <c r="CC132" s="644">
        <v>634</v>
      </c>
      <c r="CD132" s="644" t="s">
        <v>432</v>
      </c>
      <c r="CE132" s="645">
        <v>850.26</v>
      </c>
      <c r="CF132" s="646">
        <v>56</v>
      </c>
      <c r="CG132" s="646">
        <v>0</v>
      </c>
      <c r="CH132" s="646">
        <v>58</v>
      </c>
    </row>
    <row r="133" spans="81:86" ht="13.5">
      <c r="CC133" s="644">
        <v>498</v>
      </c>
      <c r="CD133" s="644" t="s">
        <v>433</v>
      </c>
      <c r="CE133" s="645">
        <v>15232.5</v>
      </c>
      <c r="CF133" s="646">
        <v>1620</v>
      </c>
      <c r="CG133" s="646">
        <v>9200</v>
      </c>
      <c r="CH133" s="646">
        <v>12270</v>
      </c>
    </row>
    <row r="134" spans="81:86" ht="13.5">
      <c r="CC134" s="644">
        <v>638</v>
      </c>
      <c r="CD134" s="644" t="s">
        <v>434</v>
      </c>
      <c r="CE134" s="645">
        <v>0</v>
      </c>
      <c r="CF134" s="646">
        <v>0</v>
      </c>
      <c r="CG134" s="646">
        <v>0</v>
      </c>
      <c r="CH134" s="646">
        <v>0</v>
      </c>
    </row>
    <row r="135" spans="81:86" ht="13.5">
      <c r="CC135" s="644">
        <v>642</v>
      </c>
      <c r="CD135" s="644" t="s">
        <v>435</v>
      </c>
      <c r="CE135" s="645">
        <v>151860.80000000002</v>
      </c>
      <c r="CF135" s="646">
        <v>42380</v>
      </c>
      <c r="CG135" s="646">
        <v>168100</v>
      </c>
      <c r="CH135" s="646">
        <v>212010</v>
      </c>
    </row>
    <row r="136" spans="81:86" ht="13.5">
      <c r="CC136" s="644">
        <v>643</v>
      </c>
      <c r="CD136" s="644" t="s">
        <v>440</v>
      </c>
      <c r="CE136" s="645">
        <v>7865195</v>
      </c>
      <c r="CF136" s="646">
        <v>4312000</v>
      </c>
      <c r="CG136" s="646">
        <v>204600</v>
      </c>
      <c r="CH136" s="646">
        <v>4525445</v>
      </c>
    </row>
    <row r="137" spans="81:86" ht="13.5">
      <c r="CC137" s="644">
        <v>646</v>
      </c>
      <c r="CD137" s="644" t="s">
        <v>441</v>
      </c>
      <c r="CE137" s="645">
        <v>31924.08</v>
      </c>
      <c r="CF137" s="646">
        <v>9500</v>
      </c>
      <c r="CG137" s="646">
        <v>3800</v>
      </c>
      <c r="CH137" s="646">
        <v>13300</v>
      </c>
    </row>
    <row r="138" spans="81:86" ht="13.5">
      <c r="CC138" s="644">
        <v>654</v>
      </c>
      <c r="CD138" s="644" t="s">
        <v>442</v>
      </c>
      <c r="CE138" s="645">
        <v>0</v>
      </c>
      <c r="CF138" s="646">
        <v>0</v>
      </c>
      <c r="CG138" s="646">
        <v>0</v>
      </c>
      <c r="CH138" s="646">
        <v>0</v>
      </c>
    </row>
    <row r="139" spans="81:86" ht="13.5">
      <c r="CC139" s="644">
        <v>659</v>
      </c>
      <c r="CD139" s="644" t="s">
        <v>443</v>
      </c>
      <c r="CE139" s="645">
        <v>371.02000000000004</v>
      </c>
      <c r="CF139" s="646">
        <v>24</v>
      </c>
      <c r="CG139" s="646">
        <v>0</v>
      </c>
      <c r="CH139" s="646">
        <v>24</v>
      </c>
    </row>
    <row r="140" spans="81:86" ht="13.5">
      <c r="CC140" s="644">
        <v>662</v>
      </c>
      <c r="CD140" s="644" t="s">
        <v>444</v>
      </c>
      <c r="CE140" s="645">
        <v>1426.62</v>
      </c>
      <c r="CF140" s="646">
        <v>300</v>
      </c>
      <c r="CG140" s="646">
        <v>0</v>
      </c>
      <c r="CH140" s="646">
        <v>300</v>
      </c>
    </row>
    <row r="141" spans="81:86" ht="13.5">
      <c r="CC141" s="644">
        <v>670</v>
      </c>
      <c r="CD141" s="644" t="s">
        <v>161</v>
      </c>
      <c r="CE141" s="645">
        <v>617.37</v>
      </c>
      <c r="CF141" s="646">
        <v>100</v>
      </c>
      <c r="CG141" s="646">
        <v>0</v>
      </c>
      <c r="CH141" s="646">
        <v>100</v>
      </c>
    </row>
    <row r="142" spans="81:86" ht="13.5">
      <c r="CC142" s="644">
        <v>882</v>
      </c>
      <c r="CD142" s="644" t="s">
        <v>445</v>
      </c>
      <c r="CE142" s="645">
        <v>8179.2</v>
      </c>
      <c r="CF142" s="646">
        <v>2180</v>
      </c>
      <c r="CG142" s="646">
        <v>0</v>
      </c>
      <c r="CH142" s="646">
        <v>0</v>
      </c>
    </row>
    <row r="143" spans="81:86" ht="13.5">
      <c r="CC143" s="644">
        <v>674</v>
      </c>
      <c r="CD143" s="644" t="s">
        <v>162</v>
      </c>
      <c r="CE143" s="645">
        <v>0</v>
      </c>
      <c r="CF143" s="646">
        <v>0</v>
      </c>
      <c r="CG143" s="646">
        <v>0</v>
      </c>
      <c r="CH143" s="646">
        <v>0</v>
      </c>
    </row>
    <row r="144" spans="81:86" ht="13.5">
      <c r="CC144" s="644">
        <v>678</v>
      </c>
      <c r="CD144" s="644" t="s">
        <v>447</v>
      </c>
      <c r="CE144" s="645">
        <v>3072</v>
      </c>
      <c r="CF144" s="646">
        <v>0</v>
      </c>
      <c r="CG144" s="646">
        <v>0</v>
      </c>
      <c r="CH144" s="646">
        <v>2180</v>
      </c>
    </row>
    <row r="145" spans="81:86" ht="13.5">
      <c r="CC145" s="644">
        <v>682</v>
      </c>
      <c r="CD145" s="644" t="s">
        <v>448</v>
      </c>
      <c r="CE145" s="645">
        <v>126831.71</v>
      </c>
      <c r="CF145" s="646">
        <v>2400</v>
      </c>
      <c r="CG145" s="646">
        <v>0</v>
      </c>
      <c r="CH145" s="646">
        <v>2400</v>
      </c>
    </row>
    <row r="146" spans="81:86" ht="13.5">
      <c r="CC146" s="644">
        <v>686</v>
      </c>
      <c r="CD146" s="644" t="s">
        <v>449</v>
      </c>
      <c r="CE146" s="645">
        <v>134943.06</v>
      </c>
      <c r="CF146" s="646">
        <v>25800</v>
      </c>
      <c r="CG146" s="646">
        <v>2170</v>
      </c>
      <c r="CH146" s="646">
        <v>38970</v>
      </c>
    </row>
    <row r="147" spans="81:86" ht="13.5">
      <c r="CC147" s="644">
        <v>891</v>
      </c>
      <c r="CD147" s="644" t="s">
        <v>163</v>
      </c>
      <c r="CE147" s="645">
        <v>49980</v>
      </c>
      <c r="CF147" s="646">
        <v>8407</v>
      </c>
      <c r="CG147" s="646">
        <v>0</v>
      </c>
      <c r="CH147" s="646">
        <v>162200</v>
      </c>
    </row>
    <row r="148" spans="81:86" ht="13.5">
      <c r="CC148" s="644">
        <v>690</v>
      </c>
      <c r="CD148" s="644" t="s">
        <v>450</v>
      </c>
      <c r="CE148" s="645">
        <v>1071.8000000000002</v>
      </c>
      <c r="CF148" s="646">
        <v>0</v>
      </c>
      <c r="CG148" s="646">
        <v>0</v>
      </c>
      <c r="CH148" s="646">
        <v>0</v>
      </c>
    </row>
    <row r="149" spans="81:86" ht="13.5">
      <c r="CC149" s="644">
        <v>694</v>
      </c>
      <c r="CD149" s="644" t="s">
        <v>451</v>
      </c>
      <c r="CE149" s="645">
        <v>182629.8</v>
      </c>
      <c r="CF149" s="646">
        <v>160000</v>
      </c>
      <c r="CG149" s="646">
        <v>0</v>
      </c>
      <c r="CH149" s="646">
        <v>160000</v>
      </c>
    </row>
    <row r="150" spans="81:86" ht="13.5">
      <c r="CC150" s="644">
        <v>702</v>
      </c>
      <c r="CD150" s="644" t="s">
        <v>452</v>
      </c>
      <c r="CE150" s="645">
        <v>1807.828</v>
      </c>
      <c r="CF150" s="646">
        <v>600</v>
      </c>
      <c r="CG150" s="646">
        <v>0</v>
      </c>
      <c r="CH150" s="646">
        <v>600</v>
      </c>
    </row>
    <row r="151" spans="81:86" ht="13.5">
      <c r="CC151" s="644">
        <v>703</v>
      </c>
      <c r="CD151" s="644" t="s">
        <v>453</v>
      </c>
      <c r="CE151" s="645">
        <v>40400.72</v>
      </c>
      <c r="CF151" s="646">
        <v>12600</v>
      </c>
      <c r="CG151" s="646">
        <v>0</v>
      </c>
      <c r="CH151" s="646">
        <v>50100</v>
      </c>
    </row>
    <row r="152" spans="81:86" ht="13.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3.5">
      <c r="CC154" s="644">
        <v>710</v>
      </c>
      <c r="CD154" s="644" t="s">
        <v>456</v>
      </c>
      <c r="CE154" s="645">
        <v>603449.55</v>
      </c>
      <c r="CF154" s="646">
        <v>44800</v>
      </c>
      <c r="CG154" s="646">
        <v>6600</v>
      </c>
      <c r="CH154" s="646">
        <v>51350</v>
      </c>
    </row>
    <row r="155" spans="81:86" ht="13.5">
      <c r="CC155" s="644">
        <v>728</v>
      </c>
      <c r="CD155" s="644" t="s">
        <v>508</v>
      </c>
      <c r="CE155" s="645">
        <v>570515.9184000001</v>
      </c>
      <c r="CF155" s="646">
        <v>26000</v>
      </c>
      <c r="CG155" s="646">
        <v>50000</v>
      </c>
      <c r="CH155" s="646">
        <v>49500</v>
      </c>
    </row>
    <row r="156" spans="81:86" ht="13.5">
      <c r="CC156" s="644">
        <v>144</v>
      </c>
      <c r="CD156" s="644" t="s">
        <v>457</v>
      </c>
      <c r="CE156" s="645">
        <v>112324.32</v>
      </c>
      <c r="CF156" s="646">
        <v>52800</v>
      </c>
      <c r="CG156" s="646">
        <v>0</v>
      </c>
      <c r="CH156" s="646">
        <v>52800</v>
      </c>
    </row>
    <row r="157" spans="81:86" ht="13.5">
      <c r="CC157" s="644">
        <v>729</v>
      </c>
      <c r="CD157" s="644" t="s">
        <v>509</v>
      </c>
      <c r="CE157" s="645">
        <v>463526.35125</v>
      </c>
      <c r="CF157" s="646">
        <v>4000</v>
      </c>
      <c r="CG157" s="646">
        <v>99300</v>
      </c>
      <c r="CH157" s="646">
        <v>37800</v>
      </c>
    </row>
    <row r="158" spans="81:86" ht="13.5">
      <c r="CC158" s="644">
        <v>740</v>
      </c>
      <c r="CD158" s="644" t="s">
        <v>458</v>
      </c>
      <c r="CE158" s="645">
        <v>381864.42</v>
      </c>
      <c r="CF158" s="646">
        <v>99000</v>
      </c>
      <c r="CG158" s="646">
        <v>0</v>
      </c>
      <c r="CH158" s="646">
        <v>99000</v>
      </c>
    </row>
    <row r="159" spans="81:86" ht="13.5">
      <c r="CC159" s="644">
        <v>748</v>
      </c>
      <c r="CD159" s="644" t="s">
        <v>459</v>
      </c>
      <c r="CE159" s="645">
        <v>13679.68</v>
      </c>
      <c r="CF159" s="646">
        <v>2640</v>
      </c>
      <c r="CG159" s="646">
        <v>1870</v>
      </c>
      <c r="CH159" s="646">
        <v>4510</v>
      </c>
    </row>
    <row r="160" spans="81:86" ht="13.5">
      <c r="CC160" s="644">
        <v>760</v>
      </c>
      <c r="CD160" s="644" t="s">
        <v>463</v>
      </c>
      <c r="CE160" s="645">
        <v>46665.36</v>
      </c>
      <c r="CF160" s="646">
        <v>7132</v>
      </c>
      <c r="CG160" s="646">
        <v>28520</v>
      </c>
      <c r="CH160" s="646">
        <v>16802</v>
      </c>
    </row>
    <row r="161" spans="81:86" ht="13.5">
      <c r="CC161" s="644">
        <v>762</v>
      </c>
      <c r="CD161" s="644" t="s">
        <v>464</v>
      </c>
      <c r="CE161" s="645">
        <v>97693.58</v>
      </c>
      <c r="CF161" s="646">
        <v>63460</v>
      </c>
      <c r="CG161" s="646">
        <v>34190</v>
      </c>
      <c r="CH161" s="646">
        <v>21910</v>
      </c>
    </row>
    <row r="162" spans="81:86" ht="13.5">
      <c r="CC162" s="644">
        <v>764</v>
      </c>
      <c r="CD162" s="644" t="s">
        <v>465</v>
      </c>
      <c r="CE162" s="645">
        <v>832280.6399999999</v>
      </c>
      <c r="CF162" s="646">
        <v>224510</v>
      </c>
      <c r="CG162" s="646">
        <v>0</v>
      </c>
      <c r="CH162" s="646">
        <v>438610</v>
      </c>
    </row>
    <row r="163" spans="81:86" ht="13.5">
      <c r="CC163" s="644">
        <v>807</v>
      </c>
      <c r="CD163" s="644" t="s">
        <v>164</v>
      </c>
      <c r="CE163" s="645">
        <v>15914.490000000002</v>
      </c>
      <c r="CF163" s="646">
        <v>5400</v>
      </c>
      <c r="CG163" s="646">
        <v>1000</v>
      </c>
      <c r="CH163" s="646">
        <v>6400</v>
      </c>
    </row>
    <row r="164" spans="81:86" ht="13.5">
      <c r="CC164" s="644">
        <v>626</v>
      </c>
      <c r="CD164" s="644" t="s">
        <v>165</v>
      </c>
      <c r="CE164" s="645">
        <v>22305</v>
      </c>
      <c r="CF164" s="646">
        <v>8215</v>
      </c>
      <c r="CG164" s="646">
        <v>0</v>
      </c>
      <c r="CH164" s="646">
        <v>8215</v>
      </c>
    </row>
    <row r="165" spans="81:86" ht="13.5">
      <c r="CC165" s="644">
        <v>768</v>
      </c>
      <c r="CD165" s="644" t="s">
        <v>466</v>
      </c>
      <c r="CE165" s="645">
        <v>66330.72</v>
      </c>
      <c r="CF165" s="646">
        <v>11500</v>
      </c>
      <c r="CG165" s="646">
        <v>3200</v>
      </c>
      <c r="CH165" s="646">
        <v>14700</v>
      </c>
    </row>
    <row r="166" spans="81:86" ht="13.5">
      <c r="CC166" s="647">
        <v>772</v>
      </c>
      <c r="CD166" s="647" t="s">
        <v>510</v>
      </c>
      <c r="CE166" s="645">
        <v>0</v>
      </c>
      <c r="CF166" s="646">
        <v>0</v>
      </c>
      <c r="CG166" s="646">
        <v>0</v>
      </c>
      <c r="CH166" s="646">
        <v>0</v>
      </c>
    </row>
    <row r="167" spans="81:86" ht="13.5">
      <c r="CC167" s="647">
        <v>776</v>
      </c>
      <c r="CD167" s="647" t="s">
        <v>468</v>
      </c>
      <c r="CE167" s="645">
        <v>0</v>
      </c>
      <c r="CF167" s="646">
        <v>0</v>
      </c>
      <c r="CG167" s="646">
        <v>0</v>
      </c>
      <c r="CH167" s="646">
        <v>0</v>
      </c>
    </row>
    <row r="168" spans="81:86" ht="13.5">
      <c r="CC168" s="644">
        <v>780</v>
      </c>
      <c r="CD168" s="644" t="s">
        <v>469</v>
      </c>
      <c r="CE168" s="645">
        <v>11286</v>
      </c>
      <c r="CF168" s="646">
        <v>3840</v>
      </c>
      <c r="CG168" s="646">
        <v>0</v>
      </c>
      <c r="CH168" s="646">
        <v>3840</v>
      </c>
    </row>
    <row r="169" spans="81:86" ht="13.5">
      <c r="CC169" s="644">
        <v>788</v>
      </c>
      <c r="CD169" s="644" t="s">
        <v>470</v>
      </c>
      <c r="CE169" s="645">
        <v>33867.27</v>
      </c>
      <c r="CF169" s="646">
        <v>4195</v>
      </c>
      <c r="CG169" s="646">
        <v>320</v>
      </c>
      <c r="CH169" s="646">
        <v>4615</v>
      </c>
    </row>
    <row r="170" spans="81:86" ht="13.5">
      <c r="CC170" s="644">
        <v>795</v>
      </c>
      <c r="CD170" s="644" t="s">
        <v>471</v>
      </c>
      <c r="CE170" s="645">
        <v>78584.1</v>
      </c>
      <c r="CF170" s="646">
        <v>1405</v>
      </c>
      <c r="CG170" s="646">
        <v>80200</v>
      </c>
      <c r="CH170" s="646">
        <v>24765</v>
      </c>
    </row>
    <row r="171" spans="81:86" ht="13.5">
      <c r="CC171" s="644">
        <v>798</v>
      </c>
      <c r="CD171" s="644" t="s">
        <v>166</v>
      </c>
      <c r="CE171" s="645">
        <v>0</v>
      </c>
      <c r="CF171" s="646">
        <v>0</v>
      </c>
      <c r="CG171" s="646">
        <v>0</v>
      </c>
      <c r="CH171" s="646">
        <v>0</v>
      </c>
    </row>
    <row r="172" spans="81:86" ht="13.5">
      <c r="CC172" s="644">
        <v>800</v>
      </c>
      <c r="CD172" s="644" t="s">
        <v>472</v>
      </c>
      <c r="CE172" s="645">
        <v>285029</v>
      </c>
      <c r="CF172" s="646">
        <v>39000</v>
      </c>
      <c r="CG172" s="646">
        <v>21100</v>
      </c>
      <c r="CH172" s="646">
        <v>60100</v>
      </c>
    </row>
    <row r="173" spans="81:86" ht="13.5">
      <c r="CC173" s="644">
        <v>804</v>
      </c>
      <c r="CD173" s="644" t="s">
        <v>473</v>
      </c>
      <c r="CE173" s="645">
        <v>341005.75</v>
      </c>
      <c r="CF173" s="646">
        <v>55100</v>
      </c>
      <c r="CG173" s="646">
        <v>36130</v>
      </c>
      <c r="CH173" s="646">
        <v>175280</v>
      </c>
    </row>
    <row r="174" spans="81:86" ht="13.5">
      <c r="CC174" s="644">
        <v>784</v>
      </c>
      <c r="CD174" s="644" t="s">
        <v>474</v>
      </c>
      <c r="CE174" s="645">
        <v>5553.76653</v>
      </c>
      <c r="CF174" s="646">
        <v>150</v>
      </c>
      <c r="CG174" s="646">
        <v>0</v>
      </c>
      <c r="CH174" s="646">
        <v>150</v>
      </c>
    </row>
    <row r="175" spans="81:86" ht="13.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3.5">
      <c r="CC177" s="644">
        <v>860</v>
      </c>
      <c r="CD177" s="644" t="s">
        <v>477</v>
      </c>
      <c r="CE177" s="645">
        <v>92478.34400000001</v>
      </c>
      <c r="CF177" s="646">
        <v>16340</v>
      </c>
      <c r="CG177" s="646">
        <v>102200</v>
      </c>
      <c r="CH177" s="646">
        <v>48870</v>
      </c>
    </row>
    <row r="178" spans="81:86" ht="13.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3.5">
      <c r="CC180" s="644">
        <v>704</v>
      </c>
      <c r="CD180" s="644" t="s">
        <v>478</v>
      </c>
      <c r="CE180" s="645">
        <v>603169.8300000001</v>
      </c>
      <c r="CF180" s="646">
        <v>359420</v>
      </c>
      <c r="CG180" s="646">
        <v>524700</v>
      </c>
      <c r="CH180" s="646">
        <v>884120</v>
      </c>
    </row>
    <row r="181" spans="81:86" ht="13.5">
      <c r="CC181" s="644">
        <v>887</v>
      </c>
      <c r="CD181" s="644" t="s">
        <v>479</v>
      </c>
      <c r="CE181" s="645">
        <v>88170.99</v>
      </c>
      <c r="CF181" s="646">
        <v>2100</v>
      </c>
      <c r="CG181" s="646">
        <v>0</v>
      </c>
      <c r="CH181" s="646">
        <v>2100</v>
      </c>
    </row>
    <row r="182" spans="81:86" ht="13.5">
      <c r="CC182" s="644">
        <v>894</v>
      </c>
      <c r="CD182" s="644" t="s">
        <v>480</v>
      </c>
      <c r="CE182" s="645">
        <v>767662.2</v>
      </c>
      <c r="CF182" s="646">
        <v>80200</v>
      </c>
      <c r="CG182" s="646">
        <v>24600</v>
      </c>
      <c r="CH182" s="646">
        <v>104800</v>
      </c>
    </row>
    <row r="183" spans="81:86" ht="13.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C21" sqref="C21"/>
    </sheetView>
  </sheetViews>
  <sheetFormatPr defaultColWidth="12" defaultRowHeight="12.75"/>
  <cols>
    <col min="1" max="1" width="4.33203125" style="192" hidden="1" customWidth="1"/>
    <col min="2" max="2" width="6.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360</v>
      </c>
      <c r="C3" s="299" t="s">
        <v>296</v>
      </c>
      <c r="D3" s="522" t="s">
        <v>390</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73" t="s">
        <v>86</v>
      </c>
      <c r="D5" s="873"/>
      <c r="E5" s="874"/>
      <c r="F5" s="874"/>
      <c r="G5" s="874"/>
      <c r="H5" s="875"/>
      <c r="I5" s="875"/>
      <c r="J5" s="875"/>
      <c r="K5" s="875"/>
      <c r="L5" s="875"/>
      <c r="M5" s="875"/>
      <c r="N5" s="875"/>
      <c r="O5" s="875"/>
      <c r="P5" s="875"/>
      <c r="Q5" s="875"/>
      <c r="R5" s="875"/>
      <c r="S5" s="875"/>
      <c r="T5" s="875"/>
      <c r="U5" s="875"/>
      <c r="V5" s="875"/>
      <c r="W5" s="874"/>
      <c r="X5" s="875"/>
      <c r="Y5" s="874"/>
      <c r="Z5" s="875"/>
      <c r="AA5" s="874"/>
      <c r="AB5" s="875"/>
      <c r="AC5" s="874"/>
      <c r="AD5" s="875"/>
      <c r="AE5" s="874"/>
      <c r="AF5" s="875"/>
      <c r="AG5" s="874"/>
      <c r="AH5" s="875"/>
      <c r="AI5" s="875"/>
      <c r="AJ5" s="875"/>
      <c r="AK5" s="874"/>
      <c r="AL5" s="875"/>
      <c r="AM5" s="874"/>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c r="K8" s="528"/>
      <c r="L8" s="515"/>
      <c r="M8" s="528"/>
      <c r="N8" s="515"/>
      <c r="O8" s="515"/>
      <c r="P8" s="515"/>
      <c r="Q8" s="523"/>
      <c r="R8" s="515"/>
      <c r="S8" s="523"/>
      <c r="T8" s="515"/>
      <c r="U8" s="523"/>
      <c r="V8" s="515"/>
      <c r="W8" s="523"/>
      <c r="X8" s="515"/>
      <c r="Y8" s="523"/>
      <c r="Z8" s="515"/>
      <c r="AA8" s="523"/>
      <c r="AB8" s="515"/>
      <c r="AC8" s="523"/>
      <c r="AD8" s="515"/>
      <c r="AE8" s="523"/>
      <c r="AF8" s="515"/>
      <c r="AG8" s="523"/>
      <c r="AH8" s="515"/>
      <c r="AI8" s="523"/>
      <c r="AJ8" s="515"/>
      <c r="AK8" s="523"/>
      <c r="AL8" s="515"/>
      <c r="AM8" s="523"/>
      <c r="AN8" s="515"/>
      <c r="AO8" s="523"/>
      <c r="AP8" s="515"/>
      <c r="AQ8" s="523"/>
      <c r="AR8" s="515"/>
      <c r="AS8" s="523"/>
      <c r="AT8" s="515"/>
      <c r="AU8" s="523"/>
      <c r="AV8" s="515"/>
      <c r="AW8" s="528"/>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5"/>
      <c r="AI9" s="523"/>
      <c r="AJ9" s="515"/>
      <c r="AK9" s="523"/>
      <c r="AL9" s="515"/>
      <c r="AM9" s="523"/>
      <c r="AN9" s="515"/>
      <c r="AO9" s="523"/>
      <c r="AP9" s="515"/>
      <c r="AQ9" s="523"/>
      <c r="AR9" s="515"/>
      <c r="AS9" s="523"/>
      <c r="AT9" s="515"/>
      <c r="AU9" s="523"/>
      <c r="AV9" s="515"/>
      <c r="AW9" s="528"/>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5" customFormat="1" ht="15" customHeight="1">
      <c r="A10" s="332" t="s">
        <v>65</v>
      </c>
      <c r="B10" s="624">
        <v>5001</v>
      </c>
      <c r="C10" s="625">
        <v>3</v>
      </c>
      <c r="D10" s="626" t="s">
        <v>617</v>
      </c>
      <c r="E10" s="218" t="s">
        <v>298</v>
      </c>
      <c r="F10" s="538">
        <v>1512</v>
      </c>
      <c r="G10" s="524"/>
      <c r="H10" s="538">
        <v>1658</v>
      </c>
      <c r="I10" s="524"/>
      <c r="J10" s="538">
        <v>2095</v>
      </c>
      <c r="K10" s="524"/>
      <c r="L10" s="538">
        <v>2303</v>
      </c>
      <c r="M10" s="524"/>
      <c r="N10" s="539">
        <v>2144</v>
      </c>
      <c r="O10" s="633"/>
      <c r="P10" s="539">
        <v>2353</v>
      </c>
      <c r="Q10" s="528"/>
      <c r="R10" s="539"/>
      <c r="S10" s="528"/>
      <c r="T10" s="539"/>
      <c r="U10" s="528"/>
      <c r="V10" s="539"/>
      <c r="W10" s="528"/>
      <c r="X10" s="539"/>
      <c r="Y10" s="528"/>
      <c r="Z10" s="539"/>
      <c r="AA10" s="528"/>
      <c r="AB10" s="539"/>
      <c r="AC10" s="528"/>
      <c r="AD10" s="539"/>
      <c r="AE10" s="528"/>
      <c r="AF10" s="539"/>
      <c r="AG10" s="528"/>
      <c r="AH10" s="539"/>
      <c r="AI10" s="528"/>
      <c r="AJ10" s="539"/>
      <c r="AK10" s="528"/>
      <c r="AL10" s="539"/>
      <c r="AM10" s="528"/>
      <c r="AN10" s="539"/>
      <c r="AO10" s="528"/>
      <c r="AP10" s="539"/>
      <c r="AQ10" s="528"/>
      <c r="AR10" s="539"/>
      <c r="AS10" s="528"/>
      <c r="AT10" s="539"/>
      <c r="AU10" s="528"/>
      <c r="AV10" s="539"/>
      <c r="AW10" s="524"/>
      <c r="AX10" s="582"/>
      <c r="AY10" s="336"/>
      <c r="AZ10" s="696">
        <v>3</v>
      </c>
      <c r="BA10" s="697" t="s">
        <v>120</v>
      </c>
      <c r="BB10" s="695" t="s">
        <v>78</v>
      </c>
      <c r="BC10" s="103" t="s">
        <v>82</v>
      </c>
      <c r="BD10" s="547"/>
      <c r="BE10" s="79" t="str">
        <f>IF(OR(ISBLANK(F10),ISBLANK(H10)),"N/A",IF(ABS((H10-F10)/F10)&gt;0.25,"&gt; 25%","ok"))</f>
        <v>ok</v>
      </c>
      <c r="BF10" s="543"/>
      <c r="BG10" s="79" t="str">
        <f t="shared" si="13"/>
        <v>&gt; 25%</v>
      </c>
      <c r="BH10" s="79"/>
      <c r="BI10" s="79" t="str">
        <f t="shared" si="0"/>
        <v>ok</v>
      </c>
      <c r="BJ10" s="79"/>
      <c r="BK10" s="79" t="str">
        <f t="shared" si="1"/>
        <v>ok</v>
      </c>
      <c r="BL10" s="79"/>
      <c r="BM10" s="79" t="str">
        <f t="shared" si="2"/>
        <v>ok</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v>184</v>
      </c>
      <c r="G14" s="528"/>
      <c r="H14" s="515">
        <v>179</v>
      </c>
      <c r="I14" s="528"/>
      <c r="J14" s="515">
        <v>384</v>
      </c>
      <c r="K14" s="528"/>
      <c r="L14" s="515">
        <v>404</v>
      </c>
      <c r="M14" s="528"/>
      <c r="N14" s="515">
        <v>404</v>
      </c>
      <c r="O14" s="528"/>
      <c r="P14" s="515">
        <v>444</v>
      </c>
      <c r="Q14" s="528"/>
      <c r="R14" s="515"/>
      <c r="S14" s="528"/>
      <c r="T14" s="515"/>
      <c r="U14" s="528"/>
      <c r="V14" s="515"/>
      <c r="W14" s="528"/>
      <c r="X14" s="515"/>
      <c r="Y14" s="528"/>
      <c r="Z14" s="515"/>
      <c r="AA14" s="528"/>
      <c r="AB14" s="515"/>
      <c r="AC14" s="528"/>
      <c r="AD14" s="515"/>
      <c r="AE14" s="528"/>
      <c r="AF14" s="515"/>
      <c r="AG14" s="528"/>
      <c r="AH14" s="515"/>
      <c r="AI14" s="528"/>
      <c r="AJ14" s="515"/>
      <c r="AK14" s="528"/>
      <c r="AL14" s="515"/>
      <c r="AM14" s="528"/>
      <c r="AN14" s="515"/>
      <c r="AO14" s="528"/>
      <c r="AP14" s="515"/>
      <c r="AQ14" s="528"/>
      <c r="AR14" s="515"/>
      <c r="AS14" s="528"/>
      <c r="AT14" s="515"/>
      <c r="AU14" s="528"/>
      <c r="AV14" s="515"/>
      <c r="AW14" s="528"/>
      <c r="AX14" s="446"/>
      <c r="AY14" s="195"/>
      <c r="AZ14" s="695">
        <v>6</v>
      </c>
      <c r="BA14" s="699" t="s">
        <v>127</v>
      </c>
      <c r="BB14" s="695" t="s">
        <v>78</v>
      </c>
      <c r="BC14" s="79" t="s">
        <v>82</v>
      </c>
      <c r="BD14" s="543"/>
      <c r="BE14" s="79" t="str">
        <f aca="true" t="shared" si="14" ref="BE14:BE40">IF(OR(ISBLANK(F14),ISBLANK(H14)),"N/A",IF(ABS((H14-F14)/F14)&gt;0.25,"&gt; 25%","ok"))</f>
        <v>ok</v>
      </c>
      <c r="BF14" s="543"/>
      <c r="BG14" s="79" t="str">
        <f t="shared" si="13"/>
        <v>&gt; 25%</v>
      </c>
      <c r="BH14" s="79"/>
      <c r="BI14" s="79" t="str">
        <f t="shared" si="0"/>
        <v>ok</v>
      </c>
      <c r="BJ14" s="79"/>
      <c r="BK14" s="79" t="str">
        <f t="shared" si="1"/>
        <v>ok</v>
      </c>
      <c r="BL14" s="79"/>
      <c r="BM14" s="79" t="str">
        <f t="shared" si="2"/>
        <v>ok</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v>1220</v>
      </c>
      <c r="G15" s="528"/>
      <c r="H15" s="515">
        <v>1390</v>
      </c>
      <c r="I15" s="528"/>
      <c r="J15" s="515">
        <v>1577</v>
      </c>
      <c r="K15" s="528"/>
      <c r="L15" s="515">
        <v>1737</v>
      </c>
      <c r="M15" s="528"/>
      <c r="N15" s="515">
        <v>1737</v>
      </c>
      <c r="O15" s="528"/>
      <c r="P15" s="515">
        <v>1773</v>
      </c>
      <c r="Q15" s="528"/>
      <c r="R15" s="515"/>
      <c r="S15" s="528"/>
      <c r="T15" s="515"/>
      <c r="U15" s="528"/>
      <c r="V15" s="515"/>
      <c r="W15" s="528"/>
      <c r="X15" s="515"/>
      <c r="Y15" s="528"/>
      <c r="Z15" s="515"/>
      <c r="AA15" s="528"/>
      <c r="AB15" s="515"/>
      <c r="AC15" s="528"/>
      <c r="AD15" s="515"/>
      <c r="AE15" s="528"/>
      <c r="AF15" s="515"/>
      <c r="AG15" s="528"/>
      <c r="AH15" s="515"/>
      <c r="AI15" s="528"/>
      <c r="AJ15" s="515"/>
      <c r="AK15" s="528"/>
      <c r="AL15" s="515"/>
      <c r="AM15" s="528"/>
      <c r="AN15" s="515"/>
      <c r="AO15" s="528"/>
      <c r="AP15" s="515"/>
      <c r="AQ15" s="528"/>
      <c r="AR15" s="515"/>
      <c r="AS15" s="528"/>
      <c r="AT15" s="515"/>
      <c r="AU15" s="528"/>
      <c r="AV15" s="515"/>
      <c r="AW15" s="528"/>
      <c r="AX15" s="446"/>
      <c r="AY15" s="195"/>
      <c r="AZ15" s="695">
        <v>7</v>
      </c>
      <c r="BA15" s="699" t="s">
        <v>382</v>
      </c>
      <c r="BB15" s="695" t="s">
        <v>78</v>
      </c>
      <c r="BC15" s="79" t="s">
        <v>82</v>
      </c>
      <c r="BD15" s="543"/>
      <c r="BE15" s="79" t="str">
        <f t="shared" si="14"/>
        <v>ok</v>
      </c>
      <c r="BF15" s="543"/>
      <c r="BG15" s="79" t="str">
        <f t="shared" si="13"/>
        <v>ok</v>
      </c>
      <c r="BH15" s="79"/>
      <c r="BI15" s="79" t="str">
        <f aca="true" t="shared" si="21" ref="BI15:BI40">IF(OR(ISBLANK(J15),ISBLANK(L15)),"N/A",IF(ABS((L15-J15)/J15)&gt;0.25,"&gt; 25%","ok"))</f>
        <v>ok</v>
      </c>
      <c r="BJ15" s="79"/>
      <c r="BK15" s="79" t="str">
        <f aca="true" t="shared" si="22" ref="BK15:BK40">IF(OR(ISBLANK(L15),ISBLANK(N15)),"N/A",IF(ABS((N15-L15)/L15)&gt;0.25,"&gt; 25%","ok"))</f>
        <v>ok</v>
      </c>
      <c r="BL15" s="79"/>
      <c r="BM15" s="79" t="str">
        <f aca="true" t="shared" si="23" ref="BM15:BM40">IF(OR(ISBLANK(N15),ISBLANK(P15)),"N/A",IF(ABS((P15-N15)/N15)&gt;0.25,"&gt; 25%","ok"))</f>
        <v>ok</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515"/>
      <c r="AG16" s="528"/>
      <c r="AH16" s="515"/>
      <c r="AI16" s="528"/>
      <c r="AJ16" s="515"/>
      <c r="AK16" s="528"/>
      <c r="AL16" s="515"/>
      <c r="AM16" s="528"/>
      <c r="AN16" s="515"/>
      <c r="AO16" s="528"/>
      <c r="AP16" s="515"/>
      <c r="AQ16" s="528"/>
      <c r="AR16" s="515"/>
      <c r="AS16" s="528"/>
      <c r="AT16" s="515"/>
      <c r="AU16" s="528"/>
      <c r="AV16" s="515"/>
      <c r="AW16" s="528"/>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c r="AW18" s="528"/>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5"/>
      <c r="AI19" s="528"/>
      <c r="AJ19" s="515"/>
      <c r="AK19" s="528"/>
      <c r="AL19" s="515"/>
      <c r="AM19" s="528"/>
      <c r="AN19" s="515"/>
      <c r="AO19" s="528"/>
      <c r="AP19" s="515"/>
      <c r="AQ19" s="528"/>
      <c r="AR19" s="515"/>
      <c r="AS19" s="528"/>
      <c r="AT19" s="515"/>
      <c r="AU19" s="528"/>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5"/>
      <c r="AI21" s="528"/>
      <c r="AJ21" s="515"/>
      <c r="AK21" s="528"/>
      <c r="AL21" s="515"/>
      <c r="AM21" s="528"/>
      <c r="AN21" s="515"/>
      <c r="AO21" s="528"/>
      <c r="AP21" s="515"/>
      <c r="AQ21" s="528"/>
      <c r="AR21" s="515"/>
      <c r="AS21" s="528"/>
      <c r="AT21" s="515"/>
      <c r="AU21" s="528"/>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c r="AI32" s="528"/>
      <c r="AJ32" s="515"/>
      <c r="AK32" s="528"/>
      <c r="AL32" s="515"/>
      <c r="AM32" s="528"/>
      <c r="AN32" s="515"/>
      <c r="AO32" s="528"/>
      <c r="AP32" s="515"/>
      <c r="AQ32" s="528"/>
      <c r="AR32" s="515"/>
      <c r="AS32" s="528"/>
      <c r="AT32" s="515"/>
      <c r="AU32" s="528"/>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51"/>
      <c r="AQ40" s="527"/>
      <c r="AR40" s="551"/>
      <c r="AS40" s="527"/>
      <c r="AT40" s="551"/>
      <c r="AU40" s="527"/>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18" t="s">
        <v>195</v>
      </c>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8" t="s">
        <v>250</v>
      </c>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6" t="s">
        <v>637</v>
      </c>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876"/>
      <c r="AR44" s="876"/>
      <c r="AS44" s="876"/>
      <c r="AT44" s="876"/>
      <c r="AU44" s="876"/>
      <c r="AV44" s="876"/>
      <c r="AW44" s="876"/>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6" t="s">
        <v>623</v>
      </c>
      <c r="E45" s="876"/>
      <c r="F45" s="876"/>
      <c r="G45" s="876"/>
      <c r="H45" s="876"/>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6"/>
      <c r="AQ45" s="876"/>
      <c r="AR45" s="876"/>
      <c r="AS45" s="876"/>
      <c r="AT45" s="876"/>
      <c r="AU45" s="876"/>
      <c r="AV45" s="876"/>
      <c r="AW45" s="876"/>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8" t="s">
        <v>143</v>
      </c>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347"/>
      <c r="AZ46" s="712">
        <v>3</v>
      </c>
      <c r="BA46" s="714" t="s">
        <v>120</v>
      </c>
      <c r="BB46" s="693" t="s">
        <v>78</v>
      </c>
      <c r="BC46" s="79">
        <f>F10</f>
        <v>1512</v>
      </c>
      <c r="BD46" s="79"/>
      <c r="BE46" s="79">
        <f>H10</f>
        <v>1658</v>
      </c>
      <c r="BF46" s="79"/>
      <c r="BG46" s="79">
        <f>J10</f>
        <v>2095</v>
      </c>
      <c r="BH46" s="79"/>
      <c r="BI46" s="79">
        <f>L10</f>
        <v>2303</v>
      </c>
      <c r="BJ46" s="79"/>
      <c r="BK46" s="79">
        <f>N10</f>
        <v>2144</v>
      </c>
      <c r="BL46" s="79"/>
      <c r="BM46" s="79">
        <f>P10</f>
        <v>2353</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8" t="s">
        <v>110</v>
      </c>
      <c r="E47" s="818"/>
      <c r="F47" s="818"/>
      <c r="G47" s="818"/>
      <c r="H47" s="818"/>
      <c r="I47" s="818"/>
      <c r="J47" s="818"/>
      <c r="K47" s="818"/>
      <c r="L47" s="818"/>
      <c r="M47" s="818"/>
      <c r="N47" s="818"/>
      <c r="O47" s="818"/>
      <c r="P47" s="818"/>
      <c r="Q47" s="818"/>
      <c r="R47" s="818"/>
      <c r="S47" s="818"/>
      <c r="T47" s="818"/>
      <c r="U47" s="818"/>
      <c r="V47" s="818"/>
      <c r="W47" s="818"/>
      <c r="X47" s="818"/>
      <c r="Y47" s="818"/>
      <c r="Z47" s="818"/>
      <c r="AA47" s="818"/>
      <c r="AB47" s="818"/>
      <c r="AC47" s="818"/>
      <c r="AD47" s="818"/>
      <c r="AE47" s="818"/>
      <c r="AF47" s="818"/>
      <c r="AG47" s="818"/>
      <c r="AH47" s="818"/>
      <c r="AI47" s="818"/>
      <c r="AJ47" s="818"/>
      <c r="AK47" s="818"/>
      <c r="AL47" s="818"/>
      <c r="AM47" s="818"/>
      <c r="AN47" s="818"/>
      <c r="AO47" s="818"/>
      <c r="AP47" s="818"/>
      <c r="AQ47" s="818"/>
      <c r="AR47" s="818"/>
      <c r="AS47" s="818"/>
      <c r="AT47" s="818"/>
      <c r="AU47" s="818"/>
      <c r="AV47" s="818"/>
      <c r="AW47" s="818"/>
      <c r="AX47" s="818"/>
      <c r="AY47" s="347"/>
      <c r="AZ47" s="715">
        <v>32</v>
      </c>
      <c r="BA47" s="716" t="s">
        <v>223</v>
      </c>
      <c r="BB47" s="693"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822"/>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04"/>
      <c r="G49" s="804"/>
      <c r="H49" s="804"/>
      <c r="I49" s="804"/>
      <c r="J49" s="804"/>
      <c r="K49" s="804"/>
      <c r="L49" s="804"/>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60" t="str">
        <f>D11&amp;" (W2,4)"</f>
        <v>Water returned without use (W2,4)</v>
      </c>
      <c r="M50" s="871"/>
      <c r="N50" s="871"/>
      <c r="O50" s="871"/>
      <c r="P50" s="872"/>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60" t="str">
        <f>LEFT(D12,LEN(D12)-7)&amp;" (W2,5)"</f>
        <v>Net freshwater abstracted (W2,5)</v>
      </c>
      <c r="F51" s="797"/>
      <c r="G51" s="797"/>
      <c r="H51" s="870"/>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04"/>
      <c r="AR51" s="804"/>
      <c r="AS51" s="804"/>
      <c r="AT51" s="804"/>
      <c r="AU51" s="804"/>
      <c r="AV51" s="804"/>
      <c r="AW51" s="804"/>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04"/>
      <c r="AR52" s="804"/>
      <c r="AS52" s="804"/>
      <c r="AT52" s="804"/>
      <c r="AU52" s="804"/>
      <c r="AV52" s="804"/>
      <c r="AW52" s="804"/>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45" t="str">
        <f>D24&amp;" (W2,16)"</f>
        <v>Desalinated water (W2,16)</v>
      </c>
      <c r="G53" s="846"/>
      <c r="H53" s="847"/>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04"/>
      <c r="AL53" s="864"/>
      <c r="AM53" s="864"/>
      <c r="AN53" s="493"/>
      <c r="AO53" s="493"/>
      <c r="AP53" s="493"/>
      <c r="AQ53" s="557"/>
      <c r="AR53" s="557"/>
      <c r="AS53" s="557"/>
      <c r="AT53" s="557"/>
      <c r="AU53" s="557"/>
      <c r="AV53" s="557"/>
      <c r="AW53" s="557"/>
      <c r="AX53" s="191"/>
      <c r="AZ53" s="715">
        <v>34</v>
      </c>
      <c r="BA53" s="719" t="s">
        <v>606</v>
      </c>
      <c r="BB53" s="693" t="s">
        <v>78</v>
      </c>
      <c r="BC53" s="82">
        <f>SUM(F14:F16)+SUM(F18:F20)+SUM(F22:F23)</f>
        <v>1404</v>
      </c>
      <c r="BD53" s="82"/>
      <c r="BE53" s="82">
        <f>SUM(H14:H16)+SUM(H18:H20)+SUM(H22:H23)</f>
        <v>1569</v>
      </c>
      <c r="BF53" s="82"/>
      <c r="BG53" s="82">
        <f>SUM(J14:J16)+SUM(J18:J20)+SUM(J22:J23)</f>
        <v>1961</v>
      </c>
      <c r="BH53" s="82"/>
      <c r="BI53" s="82">
        <f>SUM(L14:L16)+SUM(L18:L20)+SUM(L22:L23)</f>
        <v>2141</v>
      </c>
      <c r="BJ53" s="82"/>
      <c r="BK53" s="82">
        <f>SUM(N14:N16)+SUM(N18:N20)+SUM(N22:N23)</f>
        <v>2141</v>
      </c>
      <c r="BL53" s="82"/>
      <c r="BM53" s="82">
        <f>SUM(P14:P16)+SUM(P18:P20)+SUM(P22:P23)</f>
        <v>2217</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89"/>
      <c r="C54" s="498"/>
      <c r="D54" s="499"/>
      <c r="E54" s="493"/>
      <c r="F54" s="851"/>
      <c r="G54" s="852"/>
      <c r="H54" s="853"/>
      <c r="I54" s="493"/>
      <c r="J54" s="493"/>
      <c r="K54" s="493"/>
      <c r="L54" s="493"/>
      <c r="M54" s="493"/>
      <c r="N54" s="493"/>
      <c r="O54" s="493"/>
      <c r="P54" s="493"/>
      <c r="Q54" s="493"/>
      <c r="R54" s="493"/>
      <c r="S54" s="493"/>
      <c r="T54" s="493"/>
      <c r="U54" s="865" t="s">
        <v>514</v>
      </c>
      <c r="V54" s="866"/>
      <c r="W54" s="493"/>
      <c r="X54" s="493"/>
      <c r="Y54" s="493"/>
      <c r="Z54" s="511"/>
      <c r="AK54" s="864"/>
      <c r="AL54" s="864"/>
      <c r="AM54" s="864"/>
      <c r="AN54" s="493"/>
      <c r="AO54" s="493"/>
      <c r="AP54" s="493"/>
      <c r="AQ54" s="804"/>
      <c r="AR54" s="864"/>
      <c r="AS54" s="864"/>
      <c r="AT54" s="864"/>
      <c r="AU54" s="864"/>
      <c r="AV54" s="864"/>
      <c r="AW54" s="864"/>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45" t="str">
        <f>LEFT(D28,LEN(D28)-16)&amp;" (W2,20)"</f>
        <v>Total freshwater available for use  (W2,20)</v>
      </c>
      <c r="M55" s="846"/>
      <c r="N55" s="847"/>
      <c r="O55" s="493"/>
      <c r="P55" s="493"/>
      <c r="Q55" s="845" t="str">
        <f>LEFT(D30,LEN(D30)-8)&amp;" (W2,22)"</f>
        <v>Total freshwater use  (W2,22)</v>
      </c>
      <c r="R55" s="846"/>
      <c r="S55" s="847"/>
      <c r="U55" s="866"/>
      <c r="V55" s="866"/>
      <c r="W55" s="493"/>
      <c r="X55" s="493"/>
      <c r="Y55" s="493"/>
      <c r="Z55" s="511"/>
      <c r="AA55" s="860" t="str">
        <f>D32&amp;" (W2,23)"</f>
        <v>    Households  (W2,23)</v>
      </c>
      <c r="AB55" s="861"/>
      <c r="AC55" s="861"/>
      <c r="AD55" s="861"/>
      <c r="AE55" s="861"/>
      <c r="AF55" s="861"/>
      <c r="AG55" s="861"/>
      <c r="AH55" s="862"/>
      <c r="AI55" s="862"/>
      <c r="AJ55" s="863"/>
      <c r="AK55" s="864"/>
      <c r="AL55" s="864"/>
      <c r="AM55" s="864"/>
      <c r="AN55" s="857"/>
      <c r="AO55" s="858"/>
      <c r="AP55" s="493"/>
      <c r="AQ55" s="864"/>
      <c r="AR55" s="864"/>
      <c r="AS55" s="864"/>
      <c r="AT55" s="864"/>
      <c r="AU55" s="864"/>
      <c r="AV55" s="864"/>
      <c r="AW55" s="864"/>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48"/>
      <c r="M56" s="849"/>
      <c r="N56" s="850"/>
      <c r="O56" s="493"/>
      <c r="P56" s="493"/>
      <c r="Q56" s="848"/>
      <c r="R56" s="849"/>
      <c r="S56" s="850"/>
      <c r="T56" s="493"/>
      <c r="U56" s="493"/>
      <c r="V56" s="493"/>
      <c r="W56" s="493"/>
      <c r="X56" s="493"/>
      <c r="Y56" s="493"/>
      <c r="Z56" s="495"/>
      <c r="AK56" s="864"/>
      <c r="AL56" s="864"/>
      <c r="AM56" s="864"/>
      <c r="AN56" s="859"/>
      <c r="AO56" s="858"/>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60" t="str">
        <f>D25&amp;" (W2,17)"</f>
        <v>Reused water (W2,17)</v>
      </c>
      <c r="G57" s="797"/>
      <c r="H57" s="788"/>
      <c r="I57" s="493"/>
      <c r="J57" s="493"/>
      <c r="K57" s="493"/>
      <c r="L57" s="848"/>
      <c r="M57" s="849"/>
      <c r="N57" s="850"/>
      <c r="O57" s="493"/>
      <c r="P57" s="493"/>
      <c r="Q57" s="848"/>
      <c r="R57" s="849"/>
      <c r="S57" s="850"/>
      <c r="T57" s="493"/>
      <c r="U57" s="493"/>
      <c r="V57" s="493"/>
      <c r="W57" s="493"/>
      <c r="X57" s="493"/>
      <c r="Y57" s="493"/>
      <c r="Z57" s="253"/>
      <c r="AA57" s="854" t="str">
        <f>D33&amp;" (W2,24)"</f>
        <v>Agriculture, forestry and fishing (ISIC 01-03) (W2,24)</v>
      </c>
      <c r="AB57" s="797"/>
      <c r="AC57" s="797"/>
      <c r="AD57" s="797"/>
      <c r="AE57" s="797"/>
      <c r="AF57" s="797"/>
      <c r="AG57" s="797"/>
      <c r="AH57" s="855"/>
      <c r="AI57" s="855"/>
      <c r="AJ57" s="856"/>
      <c r="AK57" s="864"/>
      <c r="AL57" s="864"/>
      <c r="AM57" s="864"/>
      <c r="AN57" s="501"/>
      <c r="AO57" s="502"/>
      <c r="AP57" s="493"/>
      <c r="AQ57" s="804"/>
      <c r="AR57" s="804"/>
      <c r="AS57" s="804"/>
      <c r="AT57" s="804"/>
      <c r="AU57" s="804"/>
      <c r="AV57" s="804"/>
      <c r="AW57" s="804"/>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48"/>
      <c r="M58" s="849"/>
      <c r="N58" s="850"/>
      <c r="O58" s="493"/>
      <c r="P58" s="493"/>
      <c r="Q58" s="848"/>
      <c r="R58" s="849"/>
      <c r="S58" s="850"/>
      <c r="T58" s="493"/>
      <c r="U58" s="493"/>
      <c r="V58" s="493"/>
      <c r="W58" s="493"/>
      <c r="X58" s="493"/>
      <c r="Y58" s="493"/>
      <c r="Z58" s="495"/>
      <c r="AA58" s="493"/>
      <c r="AB58" s="493"/>
      <c r="AC58" s="493"/>
      <c r="AD58" s="493"/>
      <c r="AE58" s="493"/>
      <c r="AF58" s="493"/>
      <c r="AG58" s="493"/>
      <c r="AH58" s="493"/>
      <c r="AI58" s="493"/>
      <c r="AJ58" s="493"/>
      <c r="AK58" s="864"/>
      <c r="AL58" s="864"/>
      <c r="AM58" s="864"/>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48"/>
      <c r="M59" s="849"/>
      <c r="N59" s="850"/>
      <c r="O59" s="493"/>
      <c r="P59" s="493"/>
      <c r="Q59" s="848"/>
      <c r="R59" s="849"/>
      <c r="S59" s="850"/>
      <c r="T59" s="493"/>
      <c r="U59" s="493"/>
      <c r="V59" s="493"/>
      <c r="W59" s="493"/>
      <c r="X59" s="493"/>
      <c r="Y59" s="493"/>
      <c r="Z59" s="495"/>
      <c r="AA59" s="854" t="str">
        <f>D35&amp;" (W2,26)"</f>
        <v>Mining and quarrying (ISIC 05-09) (W2,26)</v>
      </c>
      <c r="AB59" s="797"/>
      <c r="AC59" s="797"/>
      <c r="AD59" s="797"/>
      <c r="AE59" s="797"/>
      <c r="AF59" s="797"/>
      <c r="AG59" s="797"/>
      <c r="AH59" s="855"/>
      <c r="AI59" s="855"/>
      <c r="AJ59" s="856"/>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48"/>
      <c r="M60" s="849"/>
      <c r="N60" s="850"/>
      <c r="O60" s="493"/>
      <c r="P60" s="493"/>
      <c r="Q60" s="848"/>
      <c r="R60" s="849"/>
      <c r="S60" s="850"/>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48"/>
      <c r="M61" s="849"/>
      <c r="N61" s="850"/>
      <c r="O61" s="493"/>
      <c r="P61" s="493"/>
      <c r="Q61" s="848"/>
      <c r="R61" s="849"/>
      <c r="S61" s="850"/>
      <c r="T61" s="493"/>
      <c r="U61" s="493"/>
      <c r="V61" s="493"/>
      <c r="W61" s="493"/>
      <c r="X61" s="493"/>
      <c r="Y61" s="493"/>
      <c r="Z61" s="495"/>
      <c r="AA61" s="854" t="str">
        <f>D36&amp;" (W2,27)"</f>
        <v>Manufacturing (ISIC 10-33) (W2,27)</v>
      </c>
      <c r="AB61" s="797"/>
      <c r="AC61" s="797"/>
      <c r="AD61" s="797"/>
      <c r="AE61" s="797"/>
      <c r="AF61" s="797"/>
      <c r="AG61" s="797"/>
      <c r="AH61" s="855"/>
      <c r="AI61" s="855"/>
      <c r="AJ61" s="856"/>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48"/>
      <c r="M62" s="849"/>
      <c r="N62" s="850"/>
      <c r="O62" s="493"/>
      <c r="P62" s="493"/>
      <c r="Q62" s="848"/>
      <c r="R62" s="849"/>
      <c r="S62" s="850"/>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51"/>
      <c r="M63" s="852"/>
      <c r="N63" s="853"/>
      <c r="O63" s="493"/>
      <c r="P63" s="493"/>
      <c r="Q63" s="851"/>
      <c r="R63" s="852"/>
      <c r="S63" s="853"/>
      <c r="T63" s="493"/>
      <c r="U63" s="493"/>
      <c r="V63" s="493"/>
      <c r="W63" s="493"/>
      <c r="X63" s="496"/>
      <c r="Y63" s="253"/>
      <c r="Z63" s="253"/>
      <c r="AA63" s="854" t="str">
        <f>D37&amp;" (W2,28)"</f>
        <v>Electricity, gas, steam and air conditioning supply  (ISIC 35) (W2,28)</v>
      </c>
      <c r="AB63" s="797"/>
      <c r="AC63" s="797"/>
      <c r="AD63" s="797"/>
      <c r="AE63" s="797"/>
      <c r="AF63" s="797"/>
      <c r="AG63" s="797"/>
      <c r="AH63" s="855"/>
      <c r="AI63" s="855"/>
      <c r="AJ63" s="856"/>
      <c r="AK63" s="495"/>
      <c r="AL63" s="495"/>
      <c r="AM63" s="495"/>
      <c r="AN63" s="493"/>
      <c r="AO63" s="493"/>
      <c r="AP63" s="493"/>
      <c r="AQ63" s="804"/>
      <c r="AR63" s="804"/>
      <c r="AS63" s="804"/>
      <c r="AT63" s="804"/>
      <c r="AU63" s="804"/>
      <c r="AV63" s="804"/>
      <c r="AW63" s="804"/>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45" t="str">
        <f>D26&amp;" - "&amp;D27&amp;"  =(W2,18) - (W2,19)"</f>
        <v>Imports of water - Exports of water  =(W2,18) - (W2,19)</v>
      </c>
      <c r="G64" s="846"/>
      <c r="H64" s="847"/>
      <c r="I64" s="493"/>
      <c r="J64" s="493"/>
      <c r="K64" s="493"/>
      <c r="L64" s="493"/>
      <c r="M64" s="493"/>
      <c r="N64" s="493"/>
      <c r="O64" s="493"/>
      <c r="P64" s="493"/>
      <c r="Q64" s="493"/>
      <c r="R64" s="493"/>
      <c r="S64" s="493"/>
      <c r="T64" s="493"/>
      <c r="U64" s="493"/>
      <c r="V64" s="493"/>
      <c r="W64" s="493"/>
      <c r="X64" s="496"/>
      <c r="Y64" s="253"/>
      <c r="Z64" s="556"/>
      <c r="AB64" s="804"/>
      <c r="AC64" s="804"/>
      <c r="AD64" s="804"/>
      <c r="AE64" s="804"/>
      <c r="AF64" s="804"/>
      <c r="AG64" s="804"/>
      <c r="AH64" s="804"/>
      <c r="AI64" s="804"/>
      <c r="AJ64" s="804"/>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48"/>
      <c r="G65" s="849"/>
      <c r="H65" s="850"/>
      <c r="I65" s="493"/>
      <c r="J65" s="493"/>
      <c r="K65" s="493"/>
      <c r="L65" s="493"/>
      <c r="M65" s="493"/>
      <c r="N65" s="845" t="str">
        <f>D29&amp;" (W2,21)"</f>
        <v>Losses during transport (W2,21)</v>
      </c>
      <c r="O65" s="846"/>
      <c r="P65" s="847"/>
      <c r="Q65" s="493"/>
      <c r="R65" s="493"/>
      <c r="S65" s="493"/>
      <c r="T65" s="493"/>
      <c r="U65" s="493"/>
      <c r="V65" s="493"/>
      <c r="W65" s="493"/>
      <c r="X65" s="496"/>
      <c r="Y65" s="253"/>
      <c r="Z65" s="556"/>
      <c r="AA65" s="854" t="str">
        <f>D39&amp;" (W2,30)"</f>
        <v>Construction (ISIC 41-43) (W2,30)</v>
      </c>
      <c r="AB65" s="797"/>
      <c r="AC65" s="797"/>
      <c r="AD65" s="797"/>
      <c r="AE65" s="797"/>
      <c r="AF65" s="797"/>
      <c r="AG65" s="797"/>
      <c r="AH65" s="855"/>
      <c r="AI65" s="855"/>
      <c r="AJ65" s="856"/>
      <c r="AK65" s="253"/>
      <c r="AL65" s="253"/>
      <c r="AM65" s="495"/>
      <c r="AN65" s="493"/>
      <c r="AO65" s="493"/>
      <c r="AP65" s="493"/>
      <c r="AQ65" s="804"/>
      <c r="AR65" s="804"/>
      <c r="AS65" s="804"/>
      <c r="AT65" s="804"/>
      <c r="AU65" s="804"/>
      <c r="AV65" s="804"/>
      <c r="AW65" s="804"/>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7"/>
      <c r="G66" s="868"/>
      <c r="H66" s="869"/>
      <c r="I66" s="493"/>
      <c r="J66" s="493"/>
      <c r="K66" s="493"/>
      <c r="L66" s="493"/>
      <c r="M66" s="493"/>
      <c r="N66" s="851"/>
      <c r="O66" s="852"/>
      <c r="P66" s="853"/>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54" t="str">
        <f>D40&amp;" (W2,31)"</f>
        <v>Other economic activities (W2,31)</v>
      </c>
      <c r="AB67" s="797"/>
      <c r="AC67" s="797"/>
      <c r="AD67" s="797"/>
      <c r="AE67" s="797"/>
      <c r="AF67" s="797"/>
      <c r="AG67" s="797"/>
      <c r="AH67" s="855"/>
      <c r="AI67" s="855"/>
      <c r="AJ67" s="856"/>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3:99" ht="18" customHeight="1">
      <c r="C71" s="484"/>
      <c r="D71" s="829"/>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3:99" ht="18" customHeight="1">
      <c r="C72" s="484"/>
      <c r="D72" s="806"/>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c r="AI72" s="807"/>
      <c r="AJ72" s="807"/>
      <c r="AK72" s="807"/>
      <c r="AL72" s="807"/>
      <c r="AM72" s="807"/>
      <c r="AN72" s="807"/>
      <c r="AO72" s="807"/>
      <c r="AP72" s="807"/>
      <c r="AQ72" s="807"/>
      <c r="AR72" s="807"/>
      <c r="AS72" s="807"/>
      <c r="AT72" s="807"/>
      <c r="AU72" s="807"/>
      <c r="AV72" s="807"/>
      <c r="AW72" s="807"/>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3:99" ht="18" customHeight="1">
      <c r="C73" s="484"/>
      <c r="D73" s="806"/>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c r="AD73" s="807"/>
      <c r="AE73" s="807"/>
      <c r="AF73" s="807"/>
      <c r="AG73" s="807"/>
      <c r="AH73" s="807"/>
      <c r="AI73" s="807"/>
      <c r="AJ73" s="807"/>
      <c r="AK73" s="807"/>
      <c r="AL73" s="807"/>
      <c r="AM73" s="807"/>
      <c r="AN73" s="807"/>
      <c r="AO73" s="807"/>
      <c r="AP73" s="807"/>
      <c r="AQ73" s="807"/>
      <c r="AR73" s="807"/>
      <c r="AS73" s="807"/>
      <c r="AT73" s="807"/>
      <c r="AU73" s="807"/>
      <c r="AV73" s="807"/>
      <c r="AW73" s="807"/>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06"/>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06"/>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807"/>
      <c r="AE75" s="807"/>
      <c r="AF75" s="807"/>
      <c r="AG75" s="807"/>
      <c r="AH75" s="807"/>
      <c r="AI75" s="807"/>
      <c r="AJ75" s="807"/>
      <c r="AK75" s="807"/>
      <c r="AL75" s="807"/>
      <c r="AM75" s="807"/>
      <c r="AN75" s="807"/>
      <c r="AO75" s="807"/>
      <c r="AP75" s="807"/>
      <c r="AQ75" s="807"/>
      <c r="AR75" s="807"/>
      <c r="AS75" s="807"/>
      <c r="AT75" s="807"/>
      <c r="AU75" s="807"/>
      <c r="AV75" s="807"/>
      <c r="AW75" s="807"/>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06"/>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c r="AI76" s="807"/>
      <c r="AJ76" s="807"/>
      <c r="AK76" s="807"/>
      <c r="AL76" s="807"/>
      <c r="AM76" s="807"/>
      <c r="AN76" s="807"/>
      <c r="AO76" s="807"/>
      <c r="AP76" s="807"/>
      <c r="AQ76" s="807"/>
      <c r="AR76" s="807"/>
      <c r="AS76" s="807"/>
      <c r="AT76" s="807"/>
      <c r="AU76" s="807"/>
      <c r="AV76" s="807"/>
      <c r="AW76" s="807"/>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06"/>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c r="AI77" s="807"/>
      <c r="AJ77" s="807"/>
      <c r="AK77" s="807"/>
      <c r="AL77" s="807"/>
      <c r="AM77" s="807"/>
      <c r="AN77" s="807"/>
      <c r="AO77" s="807"/>
      <c r="AP77" s="807"/>
      <c r="AQ77" s="807"/>
      <c r="AR77" s="807"/>
      <c r="AS77" s="807"/>
      <c r="AT77" s="807"/>
      <c r="AU77" s="807"/>
      <c r="AV77" s="807"/>
      <c r="AW77" s="807"/>
      <c r="AX77" s="585"/>
      <c r="CU77" s="270"/>
    </row>
    <row r="78" spans="3:99" ht="18" customHeight="1">
      <c r="C78" s="484"/>
      <c r="D78" s="806"/>
      <c r="E78" s="807"/>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585"/>
      <c r="CU78" s="270"/>
    </row>
    <row r="79" spans="3:99" ht="18" customHeight="1">
      <c r="C79" s="484"/>
      <c r="D79" s="806"/>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585"/>
      <c r="CU79" s="270"/>
    </row>
    <row r="80" spans="3:99" ht="18" customHeight="1">
      <c r="C80" s="484"/>
      <c r="D80" s="806"/>
      <c r="E80" s="807"/>
      <c r="F80" s="807"/>
      <c r="G80" s="807"/>
      <c r="H80" s="807"/>
      <c r="I80" s="807"/>
      <c r="J80" s="807"/>
      <c r="K80" s="807"/>
      <c r="L80" s="807"/>
      <c r="M80" s="807"/>
      <c r="N80" s="807"/>
      <c r="O80" s="807"/>
      <c r="P80" s="807"/>
      <c r="Q80" s="807"/>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585"/>
      <c r="CU80" s="270"/>
    </row>
    <row r="81" spans="3:99" ht="18" customHeight="1">
      <c r="C81" s="484"/>
      <c r="D81" s="806"/>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585"/>
      <c r="CU81" s="270"/>
    </row>
    <row r="82" spans="3:99" ht="18" customHeight="1">
      <c r="C82" s="484"/>
      <c r="D82" s="806"/>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585"/>
      <c r="CU82" s="270"/>
    </row>
    <row r="83" spans="3:99" ht="18" customHeight="1">
      <c r="C83" s="484"/>
      <c r="D83" s="806"/>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585"/>
      <c r="CU83" s="270"/>
    </row>
    <row r="84" spans="2:99" ht="18" customHeight="1">
      <c r="B84" s="367"/>
      <c r="C84" s="484"/>
      <c r="D84" s="806"/>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585"/>
      <c r="CU84" s="270"/>
    </row>
    <row r="85" spans="3:99" ht="18" customHeight="1">
      <c r="C85" s="484"/>
      <c r="D85" s="806"/>
      <c r="E85" s="807"/>
      <c r="F85" s="807"/>
      <c r="G85" s="807"/>
      <c r="H85" s="807"/>
      <c r="I85" s="807"/>
      <c r="J85" s="807"/>
      <c r="K85" s="807"/>
      <c r="L85" s="807"/>
      <c r="M85" s="807"/>
      <c r="N85" s="807"/>
      <c r="O85" s="807"/>
      <c r="P85" s="807"/>
      <c r="Q85" s="807"/>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585"/>
      <c r="CU85" s="270"/>
    </row>
    <row r="86" spans="3:99" ht="18" customHeight="1">
      <c r="C86" s="484"/>
      <c r="D86" s="806"/>
      <c r="E86" s="807"/>
      <c r="F86" s="807"/>
      <c r="G86" s="807"/>
      <c r="H86" s="807"/>
      <c r="I86" s="807"/>
      <c r="J86" s="807"/>
      <c r="K86" s="807"/>
      <c r="L86" s="807"/>
      <c r="M86" s="807"/>
      <c r="N86" s="807"/>
      <c r="O86" s="807"/>
      <c r="P86" s="807"/>
      <c r="Q86" s="807"/>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585"/>
      <c r="CU86" s="270"/>
    </row>
    <row r="87" spans="3:99" ht="18" customHeight="1">
      <c r="C87" s="484"/>
      <c r="D87" s="806"/>
      <c r="E87" s="807"/>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807"/>
      <c r="AE87" s="807"/>
      <c r="AF87" s="807"/>
      <c r="AG87" s="807"/>
      <c r="AH87" s="807"/>
      <c r="AI87" s="807"/>
      <c r="AJ87" s="807"/>
      <c r="AK87" s="807"/>
      <c r="AL87" s="807"/>
      <c r="AM87" s="807"/>
      <c r="AN87" s="807"/>
      <c r="AO87" s="807"/>
      <c r="AP87" s="807"/>
      <c r="AQ87" s="807"/>
      <c r="AR87" s="807"/>
      <c r="AS87" s="807"/>
      <c r="AT87" s="807"/>
      <c r="AU87" s="807"/>
      <c r="AV87" s="807"/>
      <c r="AW87" s="807"/>
      <c r="AX87" s="585"/>
      <c r="CU87" s="270"/>
    </row>
    <row r="88" spans="3:50" ht="18" customHeight="1">
      <c r="C88" s="484"/>
      <c r="D88" s="806"/>
      <c r="E88" s="807"/>
      <c r="F88" s="807"/>
      <c r="G88" s="807"/>
      <c r="H88" s="807"/>
      <c r="I88" s="807"/>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c r="AI88" s="807"/>
      <c r="AJ88" s="807"/>
      <c r="AK88" s="807"/>
      <c r="AL88" s="807"/>
      <c r="AM88" s="807"/>
      <c r="AN88" s="807"/>
      <c r="AO88" s="807"/>
      <c r="AP88" s="807"/>
      <c r="AQ88" s="807"/>
      <c r="AR88" s="807"/>
      <c r="AS88" s="807"/>
      <c r="AT88" s="807"/>
      <c r="AU88" s="807"/>
      <c r="AV88" s="807"/>
      <c r="AW88" s="807"/>
      <c r="AX88" s="585"/>
    </row>
    <row r="89" spans="3:50" ht="18" customHeight="1">
      <c r="C89" s="484"/>
      <c r="D89" s="806"/>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807"/>
      <c r="AE89" s="807"/>
      <c r="AF89" s="807"/>
      <c r="AG89" s="807"/>
      <c r="AH89" s="807"/>
      <c r="AI89" s="807"/>
      <c r="AJ89" s="807"/>
      <c r="AK89" s="807"/>
      <c r="AL89" s="807"/>
      <c r="AM89" s="807"/>
      <c r="AN89" s="807"/>
      <c r="AO89" s="807"/>
      <c r="AP89" s="807"/>
      <c r="AQ89" s="807"/>
      <c r="AR89" s="807"/>
      <c r="AS89" s="807"/>
      <c r="AT89" s="807"/>
      <c r="AU89" s="807"/>
      <c r="AV89" s="807"/>
      <c r="AW89" s="807"/>
      <c r="AX89" s="585"/>
    </row>
    <row r="90" spans="2:98" ht="18" customHeight="1">
      <c r="B90" s="490"/>
      <c r="C90" s="484"/>
      <c r="D90" s="806"/>
      <c r="E90" s="807"/>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c r="AD90" s="807"/>
      <c r="AE90" s="807"/>
      <c r="AF90" s="807"/>
      <c r="AG90" s="807"/>
      <c r="AH90" s="807"/>
      <c r="AI90" s="807"/>
      <c r="AJ90" s="807"/>
      <c r="AK90" s="807"/>
      <c r="AL90" s="807"/>
      <c r="AM90" s="807"/>
      <c r="AN90" s="807"/>
      <c r="AO90" s="807"/>
      <c r="AP90" s="807"/>
      <c r="AQ90" s="807"/>
      <c r="AR90" s="807"/>
      <c r="AS90" s="807"/>
      <c r="AT90" s="807"/>
      <c r="AU90" s="807"/>
      <c r="AV90" s="807"/>
      <c r="AW90" s="807"/>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06"/>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c r="AE91" s="807"/>
      <c r="AF91" s="807"/>
      <c r="AG91" s="807"/>
      <c r="AH91" s="807"/>
      <c r="AI91" s="807"/>
      <c r="AJ91" s="807"/>
      <c r="AK91" s="807"/>
      <c r="AL91" s="807"/>
      <c r="AM91" s="807"/>
      <c r="AN91" s="807"/>
      <c r="AO91" s="807"/>
      <c r="AP91" s="807"/>
      <c r="AQ91" s="807"/>
      <c r="AR91" s="807"/>
      <c r="AS91" s="807"/>
      <c r="AT91" s="807"/>
      <c r="AU91" s="807"/>
      <c r="AV91" s="807"/>
      <c r="AW91" s="807"/>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sheet="1"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5.5" style="162" hidden="1" customWidth="1"/>
    <col min="2" max="2" width="9.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8.33203125" style="201" customWidth="1"/>
    <col min="45" max="45" width="1.83203125" style="201" customWidth="1"/>
    <col min="46" max="46" width="9.16015625" style="200" customWidth="1"/>
    <col min="47" max="47" width="1.83203125" style="201" customWidth="1"/>
    <col min="48" max="48" width="9.33203125"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360</v>
      </c>
      <c r="C3" s="299" t="s">
        <v>296</v>
      </c>
      <c r="D3" s="29" t="s">
        <v>390</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98"/>
      <c r="BH3" s="898"/>
      <c r="BI3" s="898"/>
      <c r="BJ3" s="385"/>
      <c r="BK3" s="385"/>
      <c r="BL3" s="385"/>
      <c r="BM3" s="898"/>
      <c r="BN3" s="898"/>
      <c r="BO3" s="898"/>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73" t="s">
        <v>197</v>
      </c>
      <c r="D5" s="873"/>
      <c r="E5" s="899"/>
      <c r="F5" s="899"/>
      <c r="G5" s="899"/>
      <c r="H5" s="899"/>
      <c r="I5" s="875"/>
      <c r="J5" s="875"/>
      <c r="K5" s="875"/>
      <c r="L5" s="875"/>
      <c r="M5" s="875"/>
      <c r="N5" s="875"/>
      <c r="O5" s="875"/>
      <c r="P5" s="875"/>
      <c r="Q5" s="875"/>
      <c r="R5" s="875"/>
      <c r="S5" s="875"/>
      <c r="T5" s="875"/>
      <c r="U5" s="875"/>
      <c r="V5" s="875"/>
      <c r="W5" s="875"/>
      <c r="X5" s="899"/>
      <c r="Y5" s="875"/>
      <c r="Z5" s="899"/>
      <c r="AA5" s="875"/>
      <c r="AB5" s="899"/>
      <c r="AC5" s="875"/>
      <c r="AD5" s="899"/>
      <c r="AE5" s="875"/>
      <c r="AF5" s="899"/>
      <c r="AG5" s="875"/>
      <c r="AH5" s="899"/>
      <c r="AI5" s="875"/>
      <c r="AJ5" s="875"/>
      <c r="AK5" s="875"/>
      <c r="AL5" s="899"/>
      <c r="AM5" s="875"/>
      <c r="AN5" s="899"/>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v>2144</v>
      </c>
      <c r="O10" s="525" t="s">
        <v>646</v>
      </c>
      <c r="P10" s="539">
        <v>2353.22607421875</v>
      </c>
      <c r="Q10" s="525" t="s">
        <v>646</v>
      </c>
      <c r="R10" s="539">
        <v>3789.09594726562</v>
      </c>
      <c r="S10" s="525" t="s">
        <v>646</v>
      </c>
      <c r="T10" s="539">
        <v>2194.52001953125</v>
      </c>
      <c r="U10" s="525" t="s">
        <v>646</v>
      </c>
      <c r="V10" s="539">
        <v>2410.89990234375</v>
      </c>
      <c r="W10" s="525" t="s">
        <v>646</v>
      </c>
      <c r="X10" s="539">
        <v>2312.69995117188</v>
      </c>
      <c r="Y10" s="525" t="s">
        <v>646</v>
      </c>
      <c r="Z10" s="539">
        <v>2438.60009765625</v>
      </c>
      <c r="AA10" s="525" t="s">
        <v>646</v>
      </c>
      <c r="AB10" s="539">
        <v>2742.39990234375</v>
      </c>
      <c r="AC10" s="525" t="s">
        <v>646</v>
      </c>
      <c r="AD10" s="539">
        <v>2968.60009765625</v>
      </c>
      <c r="AE10" s="525" t="s">
        <v>646</v>
      </c>
      <c r="AF10" s="539">
        <v>2800.02807617188</v>
      </c>
      <c r="AG10" s="525" t="s">
        <v>647</v>
      </c>
      <c r="AH10" s="539">
        <v>2952.44897460938</v>
      </c>
      <c r="AI10" s="525" t="s">
        <v>647</v>
      </c>
      <c r="AJ10" s="539">
        <v>3658.64990234375</v>
      </c>
      <c r="AK10" s="525" t="s">
        <v>647</v>
      </c>
      <c r="AL10" s="539">
        <v>4003.44897460938</v>
      </c>
      <c r="AM10" s="525" t="s">
        <v>647</v>
      </c>
      <c r="AN10" s="539">
        <v>3639.42309570312</v>
      </c>
      <c r="AO10" s="525" t="s">
        <v>647</v>
      </c>
      <c r="AP10" s="539">
        <v>3750.26000976562</v>
      </c>
      <c r="AQ10" s="525" t="s">
        <v>647</v>
      </c>
      <c r="AR10" s="929">
        <v>4130.273</v>
      </c>
      <c r="AS10" s="525" t="s">
        <v>653</v>
      </c>
      <c r="AT10" s="929">
        <v>4350.726</v>
      </c>
      <c r="AU10" s="738" t="s">
        <v>65</v>
      </c>
      <c r="AV10" s="930">
        <v>4375.697</v>
      </c>
      <c r="AW10" s="738" t="s">
        <v>65</v>
      </c>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ok</v>
      </c>
      <c r="BN10" s="82"/>
      <c r="BO10" s="82" t="str">
        <f>IF(OR(ISBLANK(P10),ISBLANK(R10)),"N/A",IF(ABS((R10-P10)/P10)&gt;0.25,"&gt; 25%","ok"))</f>
        <v>&gt; 25%</v>
      </c>
      <c r="BP10" s="82"/>
      <c r="BQ10" s="82" t="str">
        <f>IF(OR(ISBLANK(R10),ISBLANK(T10)),"N/A",IF(ABS((T10-R10)/R10)&gt;0.25,"&gt; 25%","ok"))</f>
        <v>&gt; 25%</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2"/>
        <v>ok</v>
      </c>
      <c r="CN10" s="82"/>
      <c r="CO10" s="82" t="str">
        <f t="shared" si="3"/>
        <v>ok</v>
      </c>
      <c r="CP10" s="82"/>
      <c r="CQ10" s="82" t="str">
        <f t="shared" si="4"/>
        <v>ok</v>
      </c>
      <c r="CR10" s="82"/>
      <c r="CS10" s="82" t="str">
        <f t="shared" si="5"/>
        <v>ok</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c r="AO19" s="529"/>
      <c r="AP19" s="540"/>
      <c r="AQ19" s="529"/>
      <c r="AR19" s="540"/>
      <c r="AS19" s="529"/>
      <c r="AT19" s="540"/>
      <c r="AU19" s="529"/>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8" t="s">
        <v>122</v>
      </c>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406"/>
      <c r="AZ26" s="695">
        <v>3</v>
      </c>
      <c r="BA26" s="730" t="s">
        <v>536</v>
      </c>
      <c r="BB26" s="695" t="s">
        <v>298</v>
      </c>
      <c r="BC26" s="81">
        <f>F10</f>
        <v>0</v>
      </c>
      <c r="BD26" s="81"/>
      <c r="BE26" s="81">
        <f>H10</f>
        <v>0</v>
      </c>
      <c r="BF26" s="81"/>
      <c r="BG26" s="81">
        <f>J10</f>
        <v>0</v>
      </c>
      <c r="BH26" s="81"/>
      <c r="BI26" s="81">
        <f>L10</f>
        <v>0</v>
      </c>
      <c r="BJ26" s="81"/>
      <c r="BK26" s="81">
        <f>N10</f>
        <v>2144</v>
      </c>
      <c r="BL26" s="81"/>
      <c r="BM26" s="81">
        <f>P10</f>
        <v>2353.22607421875</v>
      </c>
      <c r="BN26" s="81"/>
      <c r="BO26" s="81">
        <f>R10</f>
        <v>3789.09594726562</v>
      </c>
      <c r="BP26" s="81"/>
      <c r="BQ26" s="81">
        <f>T10</f>
        <v>2194.52001953125</v>
      </c>
      <c r="BR26" s="81"/>
      <c r="BS26" s="81">
        <f>V10</f>
        <v>2410.89990234375</v>
      </c>
      <c r="BT26" s="81"/>
      <c r="BU26" s="81">
        <f>X10</f>
        <v>2312.69995117188</v>
      </c>
      <c r="BV26" s="81"/>
      <c r="BW26" s="81">
        <f>Z10</f>
        <v>2438.60009765625</v>
      </c>
      <c r="BX26" s="81"/>
      <c r="BY26" s="81">
        <f>AB10</f>
        <v>2742.39990234375</v>
      </c>
      <c r="BZ26" s="81"/>
      <c r="CA26" s="81">
        <f>AD10</f>
        <v>2968.60009765625</v>
      </c>
      <c r="CB26" s="81"/>
      <c r="CC26" s="81">
        <f>AF10</f>
        <v>2800.02807617188</v>
      </c>
      <c r="CD26" s="81"/>
      <c r="CE26" s="81">
        <f>AH10</f>
        <v>2952.44897460938</v>
      </c>
      <c r="CF26" s="81"/>
      <c r="CG26" s="81">
        <f>AJ10</f>
        <v>3658.64990234375</v>
      </c>
      <c r="CH26" s="81"/>
      <c r="CI26" s="81">
        <f>AL10</f>
        <v>4003.44897460938</v>
      </c>
      <c r="CJ26" s="81"/>
      <c r="CK26" s="81">
        <f>AN10</f>
        <v>3639.42309570312</v>
      </c>
      <c r="CL26" s="81"/>
      <c r="CM26" s="81">
        <f>AP10</f>
        <v>3750.26000976562</v>
      </c>
      <c r="CN26" s="81"/>
      <c r="CO26" s="81">
        <f>AR10</f>
        <v>4130.273</v>
      </c>
      <c r="CP26" s="81"/>
      <c r="CQ26" s="81">
        <f>AT10</f>
        <v>4350.726</v>
      </c>
      <c r="CR26" s="81"/>
      <c r="CS26" s="81">
        <f>AV10</f>
        <v>4375.697</v>
      </c>
      <c r="CT26" s="81"/>
    </row>
    <row r="27" spans="1:113" s="389" customFormat="1" ht="14.25" customHeight="1">
      <c r="A27" s="247"/>
      <c r="B27" s="247"/>
      <c r="C27" s="245" t="s">
        <v>142</v>
      </c>
      <c r="D27" s="828" t="s">
        <v>143</v>
      </c>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8"/>
      <c r="AU27" s="828"/>
      <c r="AV27" s="828"/>
      <c r="AW27" s="828"/>
      <c r="AX27" s="828"/>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18" t="s">
        <v>625</v>
      </c>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18" t="s">
        <v>251</v>
      </c>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18" t="s">
        <v>110</v>
      </c>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2"/>
      <c r="AM31" s="822"/>
      <c r="AN31" s="822"/>
      <c r="AO31" s="822"/>
      <c r="AP31" s="822"/>
      <c r="AQ31" s="822"/>
      <c r="AR31" s="822"/>
      <c r="AS31" s="822"/>
      <c r="AT31" s="822"/>
      <c r="AU31" s="822"/>
      <c r="AV31" s="822"/>
      <c r="AW31" s="822"/>
      <c r="AX31" s="822"/>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9" t="str">
        <f>D12&amp;" (W3,4)"</f>
        <v>Households (W3,4)</v>
      </c>
      <c r="V32" s="890"/>
      <c r="W32" s="890"/>
      <c r="X32" s="890"/>
      <c r="Y32" s="890"/>
      <c r="Z32" s="890"/>
      <c r="AA32" s="890"/>
      <c r="AB32" s="891"/>
      <c r="AC32" s="252"/>
      <c r="AD32" s="252"/>
      <c r="AE32" s="252"/>
      <c r="AF32" s="252"/>
      <c r="AG32" s="252"/>
      <c r="AH32" s="252"/>
      <c r="AI32" s="252"/>
      <c r="AJ32" s="252"/>
      <c r="AK32" s="252"/>
      <c r="AL32" s="804"/>
      <c r="AM32" s="804"/>
      <c r="AN32" s="804"/>
      <c r="AO32" s="804"/>
      <c r="AP32" s="804"/>
      <c r="AQ32" s="804"/>
      <c r="AR32" s="804"/>
      <c r="AS32" s="804"/>
      <c r="AT32" s="804"/>
      <c r="AU32" s="804"/>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80" t="str">
        <f>LEFT(D10,LEN(D10)-25)&amp;" (W3,3)"</f>
        <v>Net freshwater supplied by water supply industry (ISIC 36)   (W3,3)</v>
      </c>
      <c r="L33" s="881"/>
      <c r="M33" s="881"/>
      <c r="N33" s="88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7" t="str">
        <f>D8&amp;" (W3, 1)"</f>
        <v>Gross freshwater supplied by water supply industry (ISIC 36) (W3, 1)</v>
      </c>
      <c r="E34" s="253"/>
      <c r="F34" s="558"/>
      <c r="G34" s="558"/>
      <c r="H34" s="558"/>
      <c r="I34" s="558"/>
      <c r="J34" s="558"/>
      <c r="K34" s="883"/>
      <c r="L34" s="884"/>
      <c r="M34" s="884"/>
      <c r="N34" s="885"/>
      <c r="O34" s="558"/>
      <c r="P34" s="897" t="s">
        <v>16</v>
      </c>
      <c r="Q34" s="897"/>
      <c r="R34" s="558"/>
      <c r="S34" s="558"/>
      <c r="T34" s="558"/>
      <c r="U34" s="889" t="str">
        <f>D13&amp;" (W3,5)"</f>
        <v>Agriculture, forestry and fishing (ISIC 01-03) (W3,5)</v>
      </c>
      <c r="V34" s="890"/>
      <c r="W34" s="890"/>
      <c r="X34" s="890"/>
      <c r="Y34" s="890"/>
      <c r="Z34" s="890"/>
      <c r="AA34" s="890"/>
      <c r="AB34" s="891"/>
      <c r="AC34" s="254"/>
      <c r="AD34" s="253"/>
      <c r="AE34" s="554"/>
      <c r="AF34" s="554"/>
      <c r="AG34" s="413"/>
      <c r="AH34" s="900"/>
      <c r="AI34" s="900"/>
      <c r="AJ34" s="252"/>
      <c r="AK34" s="252"/>
      <c r="AL34" s="804"/>
      <c r="AM34" s="804"/>
      <c r="AN34" s="804"/>
      <c r="AO34" s="804"/>
      <c r="AP34" s="804"/>
      <c r="AQ34" s="804"/>
      <c r="AR34" s="804"/>
      <c r="AS34" s="804"/>
      <c r="AT34" s="804"/>
      <c r="AU34" s="804"/>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8"/>
      <c r="E35" s="558"/>
      <c r="F35" s="558"/>
      <c r="G35" s="558"/>
      <c r="H35" s="558"/>
      <c r="I35" s="558"/>
      <c r="J35" s="558"/>
      <c r="K35" s="883"/>
      <c r="L35" s="884"/>
      <c r="M35" s="884"/>
      <c r="N35" s="885"/>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8"/>
      <c r="E36" s="558"/>
      <c r="F36" s="558"/>
      <c r="G36" s="558"/>
      <c r="H36" s="558"/>
      <c r="I36" s="558"/>
      <c r="J36" s="558"/>
      <c r="K36" s="883"/>
      <c r="L36" s="884"/>
      <c r="M36" s="884"/>
      <c r="N36" s="885"/>
      <c r="O36" s="558"/>
      <c r="P36" s="558"/>
      <c r="Q36" s="558"/>
      <c r="R36" s="558"/>
      <c r="S36" s="558"/>
      <c r="T36" s="558"/>
      <c r="U36" s="889" t="str">
        <f>D14&amp;" (W3,6)"</f>
        <v>Mining and quarrying (ISIC 05-09) (W3,6)</v>
      </c>
      <c r="V36" s="890"/>
      <c r="W36" s="890"/>
      <c r="X36" s="890"/>
      <c r="Y36" s="890"/>
      <c r="Z36" s="890"/>
      <c r="AA36" s="890"/>
      <c r="AB36" s="891"/>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8"/>
      <c r="E37" s="558"/>
      <c r="F37" s="558"/>
      <c r="G37" s="558"/>
      <c r="H37" s="558"/>
      <c r="I37" s="558"/>
      <c r="J37" s="558"/>
      <c r="K37" s="883"/>
      <c r="L37" s="884"/>
      <c r="M37" s="884"/>
      <c r="N37" s="885"/>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79"/>
      <c r="E38" s="558"/>
      <c r="F38" s="558"/>
      <c r="G38" s="558"/>
      <c r="H38" s="558"/>
      <c r="I38" s="558"/>
      <c r="J38" s="558"/>
      <c r="K38" s="886"/>
      <c r="L38" s="887"/>
      <c r="M38" s="887"/>
      <c r="N38" s="888"/>
      <c r="O38" s="558"/>
      <c r="P38" s="558"/>
      <c r="Q38" s="558"/>
      <c r="R38" s="558"/>
      <c r="S38" s="558"/>
      <c r="T38" s="558"/>
      <c r="U38" s="889" t="str">
        <f>D15&amp;" (W3,7)"</f>
        <v>Manufacturing (ISIC 10-33) (W3,7)</v>
      </c>
      <c r="V38" s="890"/>
      <c r="W38" s="890"/>
      <c r="X38" s="890"/>
      <c r="Y38" s="890"/>
      <c r="Z38" s="890"/>
      <c r="AA38" s="890"/>
      <c r="AB38" s="891"/>
      <c r="AC38" s="254"/>
      <c r="AD38" s="554"/>
      <c r="AE38" s="554"/>
      <c r="AF38" s="554"/>
      <c r="AG38" s="252"/>
      <c r="AH38" s="252"/>
      <c r="AI38" s="252"/>
      <c r="AJ38" s="252"/>
      <c r="AK38" s="252"/>
      <c r="AL38" s="804"/>
      <c r="AM38" s="804"/>
      <c r="AN38" s="804"/>
      <c r="AO38" s="804"/>
      <c r="AP38" s="804"/>
      <c r="AQ38" s="804"/>
      <c r="AR38" s="804"/>
      <c r="AS38" s="804"/>
      <c r="AT38" s="804"/>
      <c r="AU38" s="804"/>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9" t="str">
        <f>D16&amp;" (W3,8)"</f>
        <v>Electricity, gas, steam and air conditioning supply  (ISIC 35) (W3,8)</v>
      </c>
      <c r="V40" s="890"/>
      <c r="W40" s="890"/>
      <c r="X40" s="890"/>
      <c r="Y40" s="890"/>
      <c r="Z40" s="890"/>
      <c r="AA40" s="890"/>
      <c r="AB40" s="891"/>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9" t="str">
        <f>D18&amp;" (W3,10)"</f>
        <v>Construction (ISIC 41-43) (W3,10)</v>
      </c>
      <c r="V42" s="890"/>
      <c r="W42" s="890"/>
      <c r="X42" s="890"/>
      <c r="Y42" s="890"/>
      <c r="Z42" s="890"/>
      <c r="AA42" s="890"/>
      <c r="AB42" s="891"/>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80" t="str">
        <f>D9&amp;" (W3, 2)"</f>
        <v>Losses during transport by ISIC 36 (W3, 2)</v>
      </c>
      <c r="F43" s="892"/>
      <c r="G43" s="892"/>
      <c r="H43" s="893"/>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4"/>
      <c r="F44" s="895"/>
      <c r="G44" s="895"/>
      <c r="H44" s="896"/>
      <c r="I44" s="255"/>
      <c r="J44" s="255"/>
      <c r="K44" s="255"/>
      <c r="L44" s="255"/>
      <c r="M44" s="255"/>
      <c r="N44" s="255"/>
      <c r="O44" s="255"/>
      <c r="P44" s="255"/>
      <c r="Q44" s="255"/>
      <c r="R44" s="255"/>
      <c r="S44" s="255"/>
      <c r="T44" s="255"/>
      <c r="U44" s="889" t="str">
        <f>D19&amp;" (W3,11)"</f>
        <v>Other economic activities (W3,11)</v>
      </c>
      <c r="V44" s="890"/>
      <c r="W44" s="890"/>
      <c r="X44" s="890"/>
      <c r="Y44" s="890"/>
      <c r="Z44" s="890"/>
      <c r="AA44" s="890"/>
      <c r="AB44" s="891"/>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28.5" customHeight="1">
      <c r="A49" s="162">
        <v>1</v>
      </c>
      <c r="B49" s="163">
        <v>4346</v>
      </c>
      <c r="C49" s="484" t="s">
        <v>646</v>
      </c>
      <c r="D49" s="829" t="s">
        <v>649</v>
      </c>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c r="AY49" s="421"/>
      <c r="AZ49" s="418"/>
    </row>
    <row r="50" spans="1:52" ht="18" customHeight="1">
      <c r="A50" s="162">
        <v>1</v>
      </c>
      <c r="B50" s="163">
        <v>6677</v>
      </c>
      <c r="C50" s="484" t="s">
        <v>647</v>
      </c>
      <c r="D50" s="806" t="s">
        <v>650</v>
      </c>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c r="AY50" s="421"/>
      <c r="AZ50" s="418"/>
    </row>
    <row r="51" spans="1:52" ht="18" customHeight="1">
      <c r="A51" s="162">
        <v>1</v>
      </c>
      <c r="B51" s="163">
        <v>-1</v>
      </c>
      <c r="C51" s="484" t="s">
        <v>653</v>
      </c>
      <c r="D51" s="806" t="s">
        <v>654</v>
      </c>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8"/>
      <c r="AY51" s="421"/>
      <c r="AZ51" s="418"/>
    </row>
    <row r="52" spans="3:52" ht="18" customHeight="1">
      <c r="C52" s="484"/>
      <c r="D52" s="806"/>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c r="AY52" s="421"/>
      <c r="AZ52" s="418"/>
    </row>
    <row r="53" spans="3:52" ht="18" customHeight="1">
      <c r="C53" s="484"/>
      <c r="D53" s="806"/>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08"/>
      <c r="AY53" s="421"/>
      <c r="AZ53" s="418"/>
    </row>
    <row r="54" spans="3:52" ht="18" customHeight="1">
      <c r="C54" s="484"/>
      <c r="D54" s="806"/>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7"/>
      <c r="AL54" s="807"/>
      <c r="AM54" s="807"/>
      <c r="AN54" s="807"/>
      <c r="AO54" s="807"/>
      <c r="AP54" s="807"/>
      <c r="AQ54" s="807"/>
      <c r="AR54" s="807"/>
      <c r="AS54" s="807"/>
      <c r="AT54" s="807"/>
      <c r="AU54" s="807"/>
      <c r="AV54" s="807"/>
      <c r="AW54" s="807"/>
      <c r="AX54" s="808"/>
      <c r="AY54" s="421"/>
      <c r="AZ54" s="418"/>
    </row>
    <row r="55" spans="3:52" ht="18" customHeight="1">
      <c r="C55" s="484"/>
      <c r="D55" s="806"/>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07"/>
      <c r="AP55" s="807"/>
      <c r="AQ55" s="807"/>
      <c r="AR55" s="807"/>
      <c r="AS55" s="807"/>
      <c r="AT55" s="807"/>
      <c r="AU55" s="807"/>
      <c r="AV55" s="807"/>
      <c r="AW55" s="807"/>
      <c r="AX55" s="808"/>
      <c r="AY55" s="421"/>
      <c r="AZ55" s="418"/>
    </row>
    <row r="56" spans="3:97" ht="18" customHeight="1">
      <c r="C56" s="484"/>
      <c r="D56" s="806"/>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8"/>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06"/>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06"/>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8"/>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06"/>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c r="AY59" s="421"/>
      <c r="CT59" s="382"/>
    </row>
    <row r="60" spans="3:51" ht="18" customHeight="1">
      <c r="C60" s="484"/>
      <c r="D60" s="806"/>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7"/>
      <c r="AF60" s="807"/>
      <c r="AG60" s="807"/>
      <c r="AH60" s="807"/>
      <c r="AI60" s="807"/>
      <c r="AJ60" s="807"/>
      <c r="AK60" s="807"/>
      <c r="AL60" s="807"/>
      <c r="AM60" s="807"/>
      <c r="AN60" s="807"/>
      <c r="AO60" s="807"/>
      <c r="AP60" s="807"/>
      <c r="AQ60" s="807"/>
      <c r="AR60" s="807"/>
      <c r="AS60" s="807"/>
      <c r="AT60" s="807"/>
      <c r="AU60" s="807"/>
      <c r="AV60" s="807"/>
      <c r="AW60" s="807"/>
      <c r="AX60" s="808"/>
      <c r="AY60" s="421"/>
    </row>
    <row r="61" spans="3:51" ht="18" customHeight="1">
      <c r="C61" s="484"/>
      <c r="D61" s="806"/>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807"/>
      <c r="AX61" s="808"/>
      <c r="AY61" s="421"/>
    </row>
    <row r="62" spans="3:51" ht="18" customHeight="1">
      <c r="C62" s="484"/>
      <c r="D62" s="806"/>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807"/>
      <c r="AN62" s="807"/>
      <c r="AO62" s="807"/>
      <c r="AP62" s="807"/>
      <c r="AQ62" s="807"/>
      <c r="AR62" s="807"/>
      <c r="AS62" s="807"/>
      <c r="AT62" s="807"/>
      <c r="AU62" s="807"/>
      <c r="AV62" s="807"/>
      <c r="AW62" s="807"/>
      <c r="AX62" s="808"/>
      <c r="AY62" s="421"/>
    </row>
    <row r="63" spans="3:51" ht="18" customHeight="1">
      <c r="C63" s="484"/>
      <c r="D63" s="806"/>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8"/>
      <c r="AY63" s="421"/>
    </row>
    <row r="64" spans="3:51" ht="18" customHeight="1">
      <c r="C64" s="484"/>
      <c r="D64" s="806"/>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c r="AY64" s="421"/>
    </row>
    <row r="65" spans="3:51" ht="18" customHeight="1">
      <c r="C65" s="484"/>
      <c r="D65" s="806"/>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8"/>
      <c r="AY65" s="421"/>
    </row>
    <row r="66" spans="3:51" ht="18" customHeight="1">
      <c r="C66" s="484"/>
      <c r="D66" s="806"/>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c r="AY66" s="421"/>
    </row>
    <row r="67" spans="3:51" ht="18" customHeight="1">
      <c r="C67" s="484"/>
      <c r="D67" s="806"/>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c r="AD67" s="807"/>
      <c r="AE67" s="807"/>
      <c r="AF67" s="807"/>
      <c r="AG67" s="807"/>
      <c r="AH67" s="807"/>
      <c r="AI67" s="807"/>
      <c r="AJ67" s="807"/>
      <c r="AK67" s="807"/>
      <c r="AL67" s="807"/>
      <c r="AM67" s="807"/>
      <c r="AN67" s="807"/>
      <c r="AO67" s="807"/>
      <c r="AP67" s="807"/>
      <c r="AQ67" s="807"/>
      <c r="AR67" s="807"/>
      <c r="AS67" s="807"/>
      <c r="AT67" s="807"/>
      <c r="AU67" s="807"/>
      <c r="AV67" s="807"/>
      <c r="AW67" s="807"/>
      <c r="AX67" s="808"/>
      <c r="AY67" s="421"/>
    </row>
    <row r="68" spans="3:51" ht="18" customHeight="1">
      <c r="C68" s="484"/>
      <c r="D68" s="806"/>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7"/>
      <c r="AG68" s="807"/>
      <c r="AH68" s="807"/>
      <c r="AI68" s="807"/>
      <c r="AJ68" s="807"/>
      <c r="AK68" s="807"/>
      <c r="AL68" s="807"/>
      <c r="AM68" s="807"/>
      <c r="AN68" s="807"/>
      <c r="AO68" s="807"/>
      <c r="AP68" s="807"/>
      <c r="AQ68" s="807"/>
      <c r="AR68" s="807"/>
      <c r="AS68" s="807"/>
      <c r="AT68" s="807"/>
      <c r="AU68" s="807"/>
      <c r="AV68" s="807"/>
      <c r="AW68" s="807"/>
      <c r="AX68" s="808"/>
      <c r="AY68" s="421"/>
    </row>
    <row r="69" spans="3:51" ht="18" customHeight="1">
      <c r="C69" s="521"/>
      <c r="D69" s="806"/>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08"/>
      <c r="AY69" s="421"/>
    </row>
    <row r="70" spans="3:51" ht="18" customHeight="1">
      <c r="C70" s="519"/>
      <c r="D70" s="811"/>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3"/>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D2">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360</v>
      </c>
      <c r="C3" s="299" t="s">
        <v>296</v>
      </c>
      <c r="D3" s="29" t="s">
        <v>390</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73" t="s">
        <v>207</v>
      </c>
      <c r="D5" s="873"/>
      <c r="E5" s="899"/>
      <c r="F5" s="899"/>
      <c r="G5" s="899"/>
      <c r="H5" s="899"/>
      <c r="I5" s="875"/>
      <c r="J5" s="875"/>
      <c r="K5" s="875"/>
      <c r="L5" s="875"/>
      <c r="M5" s="875"/>
      <c r="N5" s="875"/>
      <c r="O5" s="875"/>
      <c r="P5" s="875"/>
      <c r="Q5" s="875"/>
      <c r="R5" s="875"/>
      <c r="S5" s="875"/>
      <c r="T5" s="875"/>
      <c r="U5" s="875"/>
      <c r="V5" s="875"/>
      <c r="W5" s="875"/>
      <c r="X5" s="899"/>
      <c r="Y5" s="875"/>
      <c r="Z5" s="899"/>
      <c r="AA5" s="875"/>
      <c r="AB5" s="899"/>
      <c r="AC5" s="875"/>
      <c r="AD5" s="899"/>
      <c r="AE5" s="875"/>
      <c r="AF5" s="899"/>
      <c r="AG5" s="875"/>
      <c r="AH5" s="899"/>
      <c r="AI5" s="875"/>
      <c r="AJ5" s="875"/>
      <c r="AK5" s="875"/>
      <c r="AL5" s="899"/>
      <c r="AM5" s="875"/>
      <c r="AN5" s="899"/>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c r="AM17" s="525"/>
      <c r="AN17" s="539"/>
      <c r="AO17" s="525"/>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18" t="s">
        <v>254</v>
      </c>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8" t="s">
        <v>143</v>
      </c>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8"/>
      <c r="AO31" s="828"/>
      <c r="AP31" s="828"/>
      <c r="AQ31" s="828"/>
      <c r="AR31" s="828"/>
      <c r="AS31" s="828"/>
      <c r="AT31" s="828"/>
      <c r="AU31" s="828"/>
      <c r="AV31" s="828"/>
      <c r="AW31" s="828"/>
      <c r="AX31" s="828"/>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18" t="s">
        <v>110</v>
      </c>
      <c r="E32" s="818"/>
      <c r="F32" s="818"/>
      <c r="G32" s="818"/>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818"/>
      <c r="AR32" s="818"/>
      <c r="AS32" s="818"/>
      <c r="AT32" s="818"/>
      <c r="AU32" s="818"/>
      <c r="AV32" s="818"/>
      <c r="AW32" s="818"/>
      <c r="AX32" s="818"/>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22"/>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1" t="str">
        <f>D17&amp;" (W4,10)"</f>
        <v>Wastewater treated in urban wastewater treatment plants (W4,10)</v>
      </c>
      <c r="V34" s="902"/>
      <c r="W34" s="902"/>
      <c r="X34" s="902"/>
      <c r="Y34" s="902"/>
      <c r="Z34" s="902"/>
      <c r="AA34" s="902"/>
      <c r="AB34" s="903"/>
      <c r="AC34" s="248"/>
      <c r="AD34" s="248"/>
      <c r="AE34" s="248"/>
      <c r="AF34" s="248"/>
      <c r="AG34" s="248"/>
      <c r="AH34" s="248"/>
      <c r="AI34" s="253"/>
      <c r="AJ34" s="448"/>
      <c r="AK34" s="448"/>
      <c r="AL34" s="448"/>
      <c r="AM34" s="804"/>
      <c r="AN34" s="804"/>
      <c r="AO34" s="804"/>
      <c r="AP34" s="804"/>
      <c r="AQ34" s="804"/>
      <c r="AR34" s="804"/>
      <c r="AS34" s="804"/>
      <c r="AT34" s="804"/>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4" t="str">
        <f>D8&amp;" (W4,1)"</f>
        <v>Total wastewater generated (W4,1)</v>
      </c>
      <c r="K38" s="892"/>
      <c r="L38" s="892"/>
      <c r="M38" s="892"/>
      <c r="N38" s="893"/>
      <c r="O38" s="248"/>
      <c r="P38" s="248"/>
      <c r="Q38" s="248"/>
      <c r="R38" s="248"/>
      <c r="S38" s="248"/>
      <c r="T38" s="248"/>
      <c r="U38" s="901" t="str">
        <f>D21&amp;" (W4,14)"</f>
        <v>Wastewater treated in other treatment plants (W4,14)</v>
      </c>
      <c r="V38" s="902"/>
      <c r="W38" s="902"/>
      <c r="X38" s="902"/>
      <c r="Y38" s="902"/>
      <c r="Z38" s="902"/>
      <c r="AA38" s="902"/>
      <c r="AB38" s="903"/>
      <c r="AC38" s="559"/>
      <c r="AD38" s="559"/>
      <c r="AE38" s="559"/>
      <c r="AF38" s="559"/>
      <c r="AG38" s="559"/>
      <c r="AH38" s="248"/>
      <c r="AI38" s="451"/>
      <c r="AJ38" s="451"/>
      <c r="AK38" s="451"/>
      <c r="AL38" s="451"/>
      <c r="AM38" s="804"/>
      <c r="AN38" s="804"/>
      <c r="AO38" s="804"/>
      <c r="AP38" s="804"/>
      <c r="AQ38" s="804"/>
      <c r="AR38" s="804"/>
      <c r="AS38" s="804"/>
      <c r="AT38" s="804"/>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5"/>
      <c r="K39" s="906"/>
      <c r="L39" s="906"/>
      <c r="M39" s="906"/>
      <c r="N39" s="907"/>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5"/>
      <c r="K40" s="906"/>
      <c r="L40" s="906"/>
      <c r="M40" s="906"/>
      <c r="N40" s="907"/>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04"/>
      <c r="AN40" s="804"/>
      <c r="AO40" s="804"/>
      <c r="AP40" s="804"/>
      <c r="AQ40" s="804"/>
      <c r="AR40" s="804"/>
      <c r="AS40" s="804"/>
      <c r="AT40" s="804"/>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4"/>
      <c r="K41" s="895"/>
      <c r="L41" s="895"/>
      <c r="M41" s="895"/>
      <c r="N41" s="896"/>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1" t="str">
        <f>D25&amp;" (W4,18)"</f>
        <v>Wastewater treated in independent treatment facilities (W4,18)</v>
      </c>
      <c r="V42" s="902"/>
      <c r="W42" s="902"/>
      <c r="X42" s="902"/>
      <c r="Y42" s="902"/>
      <c r="Z42" s="902"/>
      <c r="AA42" s="902"/>
      <c r="AB42" s="903"/>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04"/>
      <c r="AN44" s="804"/>
      <c r="AO44" s="804"/>
      <c r="AP44" s="804"/>
      <c r="AQ44" s="804"/>
      <c r="AR44" s="804"/>
      <c r="AS44" s="804"/>
      <c r="AT44" s="804"/>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1" t="str">
        <f>D26&amp;" (W4,19)"</f>
        <v>Non-treated wastewater (W4,19)</v>
      </c>
      <c r="V46" s="902"/>
      <c r="W46" s="902"/>
      <c r="X46" s="902"/>
      <c r="Y46" s="902"/>
      <c r="Z46" s="902"/>
      <c r="AA46" s="902"/>
      <c r="AB46" s="903"/>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c r="D51" s="829"/>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1"/>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06"/>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06"/>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08"/>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06"/>
      <c r="E54" s="807"/>
      <c r="F54" s="807"/>
      <c r="G54" s="807"/>
      <c r="H54" s="807"/>
      <c r="I54" s="807"/>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7"/>
      <c r="AL54" s="807"/>
      <c r="AM54" s="807"/>
      <c r="AN54" s="807"/>
      <c r="AO54" s="807"/>
      <c r="AP54" s="807"/>
      <c r="AQ54" s="807"/>
      <c r="AR54" s="807"/>
      <c r="AS54" s="807"/>
      <c r="AT54" s="807"/>
      <c r="AU54" s="807"/>
      <c r="AV54" s="807"/>
      <c r="AW54" s="807"/>
      <c r="AX54" s="808"/>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06"/>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07"/>
      <c r="AP55" s="807"/>
      <c r="AQ55" s="807"/>
      <c r="AR55" s="807"/>
      <c r="AS55" s="807"/>
      <c r="AT55" s="807"/>
      <c r="AU55" s="807"/>
      <c r="AV55" s="807"/>
      <c r="AW55" s="807"/>
      <c r="AX55" s="808"/>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06"/>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8"/>
    </row>
    <row r="57" spans="3:50" ht="18" customHeight="1">
      <c r="C57" s="484"/>
      <c r="D57" s="806"/>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row>
    <row r="58" spans="3:50" ht="18" customHeight="1">
      <c r="C58" s="484"/>
      <c r="D58" s="806"/>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8"/>
    </row>
    <row r="59" spans="3:50" ht="18" customHeight="1">
      <c r="C59" s="484"/>
      <c r="D59" s="829"/>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0"/>
      <c r="AR59" s="830"/>
      <c r="AS59" s="830"/>
      <c r="AT59" s="830"/>
      <c r="AU59" s="830"/>
      <c r="AV59" s="830"/>
      <c r="AW59" s="830"/>
      <c r="AX59" s="831"/>
    </row>
    <row r="60" spans="3:50" ht="18" customHeight="1">
      <c r="C60" s="484"/>
      <c r="D60" s="806"/>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c r="AE60" s="807"/>
      <c r="AF60" s="807"/>
      <c r="AG60" s="807"/>
      <c r="AH60" s="807"/>
      <c r="AI60" s="807"/>
      <c r="AJ60" s="807"/>
      <c r="AK60" s="807"/>
      <c r="AL60" s="807"/>
      <c r="AM60" s="807"/>
      <c r="AN60" s="807"/>
      <c r="AO60" s="807"/>
      <c r="AP60" s="807"/>
      <c r="AQ60" s="807"/>
      <c r="AR60" s="807"/>
      <c r="AS60" s="807"/>
      <c r="AT60" s="807"/>
      <c r="AU60" s="807"/>
      <c r="AV60" s="807"/>
      <c r="AW60" s="807"/>
      <c r="AX60" s="808"/>
    </row>
    <row r="61" spans="3:50" ht="18" customHeight="1">
      <c r="C61" s="484"/>
      <c r="D61" s="806"/>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807"/>
      <c r="AX61" s="808"/>
    </row>
    <row r="62" spans="3:50" ht="18" customHeight="1">
      <c r="C62" s="484"/>
      <c r="D62" s="806"/>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807"/>
      <c r="AN62" s="807"/>
      <c r="AO62" s="807"/>
      <c r="AP62" s="807"/>
      <c r="AQ62" s="807"/>
      <c r="AR62" s="807"/>
      <c r="AS62" s="807"/>
      <c r="AT62" s="807"/>
      <c r="AU62" s="807"/>
      <c r="AV62" s="807"/>
      <c r="AW62" s="807"/>
      <c r="AX62" s="808"/>
    </row>
    <row r="63" spans="3:50" ht="18" customHeight="1">
      <c r="C63" s="484"/>
      <c r="D63" s="806"/>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08"/>
    </row>
    <row r="64" spans="3:50" ht="18" customHeight="1">
      <c r="C64" s="484"/>
      <c r="D64" s="806"/>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row>
    <row r="65" spans="3:50" ht="18" customHeight="1">
      <c r="C65" s="484"/>
      <c r="D65" s="806"/>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08"/>
    </row>
    <row r="66" spans="3:50" ht="18" customHeight="1">
      <c r="C66" s="484"/>
      <c r="D66" s="806"/>
      <c r="E66" s="807"/>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3:50" ht="18" customHeight="1">
      <c r="C67" s="484"/>
      <c r="D67" s="829"/>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0"/>
      <c r="AS67" s="830"/>
      <c r="AT67" s="830"/>
      <c r="AU67" s="830"/>
      <c r="AV67" s="830"/>
      <c r="AW67" s="830"/>
      <c r="AX67" s="831"/>
    </row>
    <row r="68" spans="3:50" ht="18" customHeight="1">
      <c r="C68" s="484"/>
      <c r="D68" s="806"/>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7"/>
      <c r="AG68" s="807"/>
      <c r="AH68" s="807"/>
      <c r="AI68" s="807"/>
      <c r="AJ68" s="807"/>
      <c r="AK68" s="807"/>
      <c r="AL68" s="807"/>
      <c r="AM68" s="807"/>
      <c r="AN68" s="807"/>
      <c r="AO68" s="807"/>
      <c r="AP68" s="807"/>
      <c r="AQ68" s="807"/>
      <c r="AR68" s="807"/>
      <c r="AS68" s="807"/>
      <c r="AT68" s="807"/>
      <c r="AU68" s="807"/>
      <c r="AV68" s="807"/>
      <c r="AW68" s="807"/>
      <c r="AX68" s="808"/>
    </row>
    <row r="69" spans="3:50" ht="18" customHeight="1">
      <c r="C69" s="484"/>
      <c r="D69" s="806"/>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08"/>
    </row>
    <row r="70" spans="3:50" ht="18" customHeight="1">
      <c r="C70" s="484"/>
      <c r="D70" s="806"/>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8"/>
    </row>
    <row r="71" spans="3:50" ht="18" customHeight="1">
      <c r="C71" s="484"/>
      <c r="D71" s="806"/>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row>
    <row r="72" spans="3:50" ht="18" customHeight="1">
      <c r="C72" s="484"/>
      <c r="D72" s="806"/>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c r="AI72" s="807"/>
      <c r="AJ72" s="807"/>
      <c r="AK72" s="807"/>
      <c r="AL72" s="807"/>
      <c r="AM72" s="807"/>
      <c r="AN72" s="807"/>
      <c r="AO72" s="807"/>
      <c r="AP72" s="807"/>
      <c r="AQ72" s="807"/>
      <c r="AR72" s="807"/>
      <c r="AS72" s="807"/>
      <c r="AT72" s="807"/>
      <c r="AU72" s="807"/>
      <c r="AV72" s="807"/>
      <c r="AW72" s="807"/>
      <c r="AX72" s="808"/>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tabColor rgb="FF92D05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7.33203125" style="211" hidden="1" customWidth="1"/>
    <col min="2" max="2" width="6.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360</v>
      </c>
      <c r="C3" s="299" t="s">
        <v>296</v>
      </c>
      <c r="D3" s="29" t="s">
        <v>390</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15" t="s">
        <v>124</v>
      </c>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v>34.2999992370605</v>
      </c>
      <c r="I11" s="525" t="s">
        <v>646</v>
      </c>
      <c r="J11" s="514">
        <v>35.5999984741211</v>
      </c>
      <c r="K11" s="525" t="s">
        <v>646</v>
      </c>
      <c r="L11" s="514">
        <v>35.5999984741211</v>
      </c>
      <c r="M11" s="525" t="s">
        <v>646</v>
      </c>
      <c r="N11" s="514">
        <v>38.0999984741211</v>
      </c>
      <c r="O11" s="525" t="s">
        <v>646</v>
      </c>
      <c r="P11" s="514"/>
      <c r="Q11" s="525"/>
      <c r="R11" s="514"/>
      <c r="S11" s="525"/>
      <c r="T11" s="514">
        <v>44.2000007629395</v>
      </c>
      <c r="U11" s="525" t="s">
        <v>646</v>
      </c>
      <c r="V11" s="514">
        <v>48.5999984741211</v>
      </c>
      <c r="W11" s="525" t="s">
        <v>646</v>
      </c>
      <c r="X11" s="514">
        <v>51.1876487731934</v>
      </c>
      <c r="Y11" s="525" t="s">
        <v>646</v>
      </c>
      <c r="Z11" s="514">
        <v>55.5379333496094</v>
      </c>
      <c r="AA11" s="525" t="s">
        <v>646</v>
      </c>
      <c r="AB11" s="514">
        <v>55.603630065918</v>
      </c>
      <c r="AC11" s="525" t="s">
        <v>646</v>
      </c>
      <c r="AD11" s="514">
        <v>57.818904876709</v>
      </c>
      <c r="AE11" s="525" t="s">
        <v>646</v>
      </c>
      <c r="AF11" s="514">
        <v>64.6399993896484</v>
      </c>
      <c r="AG11" s="525" t="s">
        <v>647</v>
      </c>
      <c r="AH11" s="514">
        <v>64.5699996948242</v>
      </c>
      <c r="AI11" s="525" t="s">
        <v>647</v>
      </c>
      <c r="AJ11" s="514">
        <v>54.9700012207031</v>
      </c>
      <c r="AK11" s="525" t="s">
        <v>647</v>
      </c>
      <c r="AL11" s="514">
        <v>68.129997253418</v>
      </c>
      <c r="AM11" s="525" t="s">
        <v>647</v>
      </c>
      <c r="AN11" s="514">
        <v>77.4300003051758</v>
      </c>
      <c r="AO11" s="525" t="s">
        <v>647</v>
      </c>
      <c r="AP11" s="514">
        <v>78.6900024414062</v>
      </c>
      <c r="AQ11" s="525" t="s">
        <v>647</v>
      </c>
      <c r="AR11" s="514">
        <v>78.7300033569336</v>
      </c>
      <c r="AS11" s="525" t="s">
        <v>647</v>
      </c>
      <c r="AT11" s="514">
        <v>81.37</v>
      </c>
      <c r="AU11" s="738" t="s">
        <v>65</v>
      </c>
      <c r="AV11" s="514">
        <v>80.73</v>
      </c>
      <c r="AW11" s="738" t="s">
        <v>65</v>
      </c>
      <c r="AY11" s="81">
        <v>4</v>
      </c>
      <c r="AZ11" s="233" t="s">
        <v>2</v>
      </c>
      <c r="BA11" s="96" t="s">
        <v>262</v>
      </c>
      <c r="BB11" s="81" t="s">
        <v>82</v>
      </c>
      <c r="BC11" s="544"/>
      <c r="BD11" s="79" t="str">
        <f>IF(OR(ISBLANK(F11),ISBLANK(H11)),"N/A",IF(ABS(H11-F11)&gt;0.25,"&gt; 25%","ok"))</f>
        <v>N/A</v>
      </c>
      <c r="BE11" s="543"/>
      <c r="BF11" s="79" t="str">
        <f>IF(OR(ISBLANK(H11),ISBLANK(J11)),"N/A",IF(ABS(J11-H11)&gt;0.25,"&gt;25%","ok"))</f>
        <v>&gt;25%</v>
      </c>
      <c r="BG11" s="79"/>
      <c r="BH11" s="79" t="str">
        <f>IF(OR(ISBLANK(J11),ISBLANK(L11)),"N/A",IF(ABS(L11-J11)&gt;25,"&gt; 25%","ok"))</f>
        <v>ok</v>
      </c>
      <c r="BI11" s="79"/>
      <c r="BJ11" s="79" t="str">
        <f>IF(OR(ISBLANK(L11),ISBLANK(N11)),"N/A",IF(ABS(N11-L11)&gt;25,"&gt; 25%","ok"))</f>
        <v>ok</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ok</v>
      </c>
      <c r="BS11" s="79"/>
      <c r="BT11" s="79" t="str">
        <f>IF(OR(ISBLANK(V11),ISBLANK(X11)),"N/A",IF(ABS(X11-V11)&gt;25,"&gt; 25%","ok"))</f>
        <v>ok</v>
      </c>
      <c r="BU11" s="79"/>
      <c r="BV11" s="79" t="str">
        <f>IF(OR(ISBLANK(X11),ISBLANK(Z11)),"N/A",IF(ABS(Z11-X11)&gt;25,"&gt; 25%","ok"))</f>
        <v>ok</v>
      </c>
      <c r="BW11" s="79"/>
      <c r="BX11" s="79" t="str">
        <f>IF(OR(ISBLANK(Z11),ISBLANK(AB11)),"N/A",IF(ABS(AB11-Z11)&gt;25,"&gt; 25%","ok"))</f>
        <v>ok</v>
      </c>
      <c r="BY11" s="79"/>
      <c r="BZ11" s="79" t="str">
        <f>IF(OR(ISBLANK(AB11),ISBLANK(AD11)),"N/A",IF(ABS(AD11-AB11)&gt;25,"&gt; 25%","ok"))</f>
        <v>ok</v>
      </c>
      <c r="CA11" s="79"/>
      <c r="CB11" s="79" t="str">
        <f>IF(OR(ISBLANK(AD11),ISBLANK(AF11)),"N/A",IF(ABS(AF11-AD11)&gt;25,"&gt; 25%","ok"))</f>
        <v>ok</v>
      </c>
      <c r="CC11" s="79"/>
      <c r="CD11" s="79" t="str">
        <f>IF(OR(ISBLANK(AF11),ISBLANK(AH11)),"N/A",IF(ABS(AH11-AF11)&gt;25,"&gt; 25%","ok"))</f>
        <v>ok</v>
      </c>
      <c r="CE11" s="79"/>
      <c r="CF11" s="79" t="str">
        <f>IF(OR(ISBLANK(AH11),ISBLANK(AJ11)),"N/A",IF(ABS(AJ11-AH11)&gt;25,"&gt; 25%","ok"))</f>
        <v>ok</v>
      </c>
      <c r="CG11" s="79"/>
      <c r="CH11" s="79" t="str">
        <f>IF(OR(ISBLANK(AJ11),ISBLANK(AL11)),"N/A",IF(ABS(AL11-AJ11)&gt;25,"&gt; 25%","ok"))</f>
        <v>ok</v>
      </c>
      <c r="CI11" s="79"/>
      <c r="CJ11" s="79" t="str">
        <f>IF(OR(ISBLANK(AL11),ISBLANK(AN11)),"N/A",IF(ABS(AN11-AL11)&gt;25,"&gt; 25%","ok"))</f>
        <v>ok</v>
      </c>
      <c r="CK11" s="79"/>
      <c r="CL11" s="79" t="str">
        <f>IF(OR(ISBLANK(AN11),ISBLANK(AP11)),"N/A",IF(ABS(AP11-AN11)&gt;25,"&gt; 25%","ok"))</f>
        <v>ok</v>
      </c>
      <c r="CM11" s="79"/>
      <c r="CN11" s="79" t="str">
        <f>IF(OR(ISBLANK(AP11),ISBLANK(AR11)),"N/A",IF(ABS(AR11-AP11)&gt;25,"&gt; 25%","ok"))</f>
        <v>ok</v>
      </c>
      <c r="CO11" s="79"/>
      <c r="CP11" s="79" t="str">
        <f>IF(OR(ISBLANK(AR11),ISBLANK(AT11)),"N/A",IF(ABS(AT11-AR11)&gt;25,"&gt; 25%","ok"))</f>
        <v>ok</v>
      </c>
      <c r="CQ11" s="79"/>
      <c r="CR11" s="79" t="str">
        <f>IF(OR(ISBLANK(AT11),ISBLANK(AV11)),"N/A",IF(ABS(AV11-AT11)&gt;25,"&gt; 25%","ok"))</f>
        <v>ok</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8" t="s">
        <v>143</v>
      </c>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828"/>
      <c r="AW15" s="828"/>
      <c r="AX15" s="828"/>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0.25">
      <c r="A16" s="636"/>
      <c r="B16" s="636"/>
      <c r="C16" s="245" t="s">
        <v>142</v>
      </c>
      <c r="D16" s="818" t="s">
        <v>110</v>
      </c>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2"/>
      <c r="AO17" s="822"/>
      <c r="AP17" s="822"/>
      <c r="AQ17" s="822"/>
      <c r="AR17" s="822"/>
      <c r="AS17" s="822"/>
      <c r="AT17" s="822"/>
      <c r="AU17" s="822"/>
      <c r="AV17" s="822"/>
      <c r="AW17" s="822"/>
      <c r="AX17" s="822"/>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20.2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1:97" ht="18" customHeight="1">
      <c r="A22" s="211">
        <v>0</v>
      </c>
      <c r="B22" s="208">
        <v>4777</v>
      </c>
      <c r="C22" s="484" t="s">
        <v>646</v>
      </c>
      <c r="D22" s="829" t="s">
        <v>651</v>
      </c>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830"/>
      <c r="AX22" s="831"/>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1:97" ht="18" customHeight="1">
      <c r="A23" s="211">
        <v>0</v>
      </c>
      <c r="B23" s="208">
        <v>6678</v>
      </c>
      <c r="C23" s="484" t="s">
        <v>647</v>
      </c>
      <c r="D23" s="806" t="s">
        <v>652</v>
      </c>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7"/>
      <c r="AX23" s="808"/>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1:97" ht="18" customHeight="1">
      <c r="A24" s="211">
        <v>0</v>
      </c>
      <c r="B24" s="208">
        <v>-1</v>
      </c>
      <c r="C24" s="484" t="s">
        <v>653</v>
      </c>
      <c r="D24" s="806" t="s">
        <v>655</v>
      </c>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8"/>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06"/>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8"/>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06"/>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08"/>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06"/>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7"/>
      <c r="AS27" s="807"/>
      <c r="AT27" s="807"/>
      <c r="AU27" s="807"/>
      <c r="AV27" s="807"/>
      <c r="AW27" s="807"/>
      <c r="AX27" s="808"/>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06"/>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8"/>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06"/>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06"/>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807"/>
      <c r="AM30" s="807"/>
      <c r="AN30" s="807"/>
      <c r="AO30" s="807"/>
      <c r="AP30" s="807"/>
      <c r="AQ30" s="807"/>
      <c r="AR30" s="807"/>
      <c r="AS30" s="807"/>
      <c r="AT30" s="807"/>
      <c r="AU30" s="807"/>
      <c r="AV30" s="807"/>
      <c r="AW30" s="807"/>
      <c r="AX30" s="808"/>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06"/>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07"/>
      <c r="AV31" s="807"/>
      <c r="AW31" s="807"/>
      <c r="AX31" s="808"/>
      <c r="AZ31" s="280"/>
    </row>
    <row r="32" spans="3:50" ht="18" customHeight="1">
      <c r="C32" s="484"/>
      <c r="D32" s="806"/>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7"/>
      <c r="AP32" s="807"/>
      <c r="AQ32" s="807"/>
      <c r="AR32" s="807"/>
      <c r="AS32" s="807"/>
      <c r="AT32" s="807"/>
      <c r="AU32" s="807"/>
      <c r="AV32" s="807"/>
      <c r="AW32" s="807"/>
      <c r="AX32" s="808"/>
    </row>
    <row r="33" spans="3:50" ht="18" customHeight="1">
      <c r="C33" s="484"/>
      <c r="D33" s="806"/>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8"/>
    </row>
    <row r="34" spans="3:50" ht="18" customHeight="1">
      <c r="C34" s="484"/>
      <c r="D34" s="806"/>
      <c r="E34" s="807"/>
      <c r="F34" s="807"/>
      <c r="G34" s="807"/>
      <c r="H34" s="807"/>
      <c r="I34" s="807"/>
      <c r="J34" s="80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807"/>
      <c r="AM34" s="807"/>
      <c r="AN34" s="807"/>
      <c r="AO34" s="807"/>
      <c r="AP34" s="807"/>
      <c r="AQ34" s="807"/>
      <c r="AR34" s="807"/>
      <c r="AS34" s="807"/>
      <c r="AT34" s="807"/>
      <c r="AU34" s="807"/>
      <c r="AV34" s="807"/>
      <c r="AW34" s="807"/>
      <c r="AX34" s="808"/>
    </row>
    <row r="35" spans="3:50" ht="18" customHeight="1">
      <c r="C35" s="484"/>
      <c r="D35" s="806"/>
      <c r="E35" s="807"/>
      <c r="F35" s="807"/>
      <c r="G35" s="807"/>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8"/>
    </row>
    <row r="36" spans="3:50" ht="18" customHeight="1">
      <c r="C36" s="484"/>
      <c r="D36" s="806"/>
      <c r="E36" s="807"/>
      <c r="F36" s="807"/>
      <c r="G36" s="807"/>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row>
    <row r="37" spans="3:50" ht="18" customHeight="1">
      <c r="C37" s="484"/>
      <c r="D37" s="806"/>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3:50" ht="18" customHeight="1">
      <c r="C38" s="484"/>
      <c r="D38" s="806"/>
      <c r="E38" s="807"/>
      <c r="F38" s="807"/>
      <c r="G38" s="807"/>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3:50" ht="18" customHeight="1">
      <c r="C39" s="484"/>
      <c r="D39" s="806"/>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8"/>
    </row>
    <row r="40" spans="3:50" ht="18" customHeight="1">
      <c r="C40" s="484"/>
      <c r="D40" s="806"/>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807"/>
      <c r="AN40" s="807"/>
      <c r="AO40" s="807"/>
      <c r="AP40" s="807"/>
      <c r="AQ40" s="807"/>
      <c r="AR40" s="807"/>
      <c r="AS40" s="807"/>
      <c r="AT40" s="807"/>
      <c r="AU40" s="807"/>
      <c r="AV40" s="807"/>
      <c r="AW40" s="807"/>
      <c r="AX40" s="808"/>
    </row>
    <row r="41" spans="3:50" ht="18" customHeight="1">
      <c r="C41" s="484"/>
      <c r="D41" s="806"/>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7"/>
      <c r="AI41" s="807"/>
      <c r="AJ41" s="807"/>
      <c r="AK41" s="807"/>
      <c r="AL41" s="807"/>
      <c r="AM41" s="807"/>
      <c r="AN41" s="807"/>
      <c r="AO41" s="807"/>
      <c r="AP41" s="807"/>
      <c r="AQ41" s="807"/>
      <c r="AR41" s="807"/>
      <c r="AS41" s="807"/>
      <c r="AT41" s="807"/>
      <c r="AU41" s="807"/>
      <c r="AV41" s="807"/>
      <c r="AW41" s="807"/>
      <c r="AX41" s="808"/>
    </row>
    <row r="42" spans="3:50" ht="18" customHeight="1">
      <c r="C42" s="521"/>
      <c r="D42" s="806"/>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row>
    <row r="43" spans="3:50" ht="18" customHeight="1">
      <c r="C43" s="519"/>
      <c r="D43" s="811"/>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3"/>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2023-09-26T13:17:08Z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